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ЭР\Муниципальные программы\МП\2020\Годовой отчет УЭР за 2020 год\"/>
    </mc:Choice>
  </mc:AlternateContent>
  <bookViews>
    <workbookView xWindow="0" yWindow="0" windowWidth="28800" windowHeight="12330" tabRatio="921" activeTab="2"/>
  </bookViews>
  <sheets>
    <sheet name="Расчет годовой" sheetId="29" r:id="rId1"/>
    <sheet name="расчет" sheetId="1" state="hidden" r:id="rId2"/>
    <sheet name="свод" sheetId="26" r:id="rId3"/>
    <sheet name="мб" sheetId="27" r:id="rId4"/>
    <sheet name="инд" sheetId="21" r:id="rId5"/>
    <sheet name="оценка" sheetId="3" r:id="rId6"/>
    <sheet name="Лист4" sheetId="33" r:id="rId7"/>
    <sheet name="ОКЖ" sheetId="19" state="hidden" r:id="rId8"/>
    <sheet name="дорож" sheetId="18" state="hidden" r:id="rId9"/>
    <sheet name="энергосбер" sheetId="25" state="hidden" r:id="rId10"/>
    <sheet name="сх" sheetId="11" state="hidden" r:id="rId11"/>
    <sheet name="уизо" sheetId="14" state="hidden" r:id="rId12"/>
    <sheet name="предпр" sheetId="7" state="hidden" r:id="rId13"/>
    <sheet name="инф" sheetId="4" state="hidden" r:id="rId14"/>
    <sheet name="кадр" sheetId="6" state="hidden" r:id="rId15"/>
    <sheet name="охр тр" sheetId="5" state="hidden" r:id="rId16"/>
    <sheet name="старшее" sheetId="15" state="hidden" r:id="rId17"/>
    <sheet name="нко" sheetId="8" state="hidden" r:id="rId18"/>
    <sheet name="безбарь" sheetId="2" state="hidden" r:id="rId19"/>
    <sheet name="семейн" sheetId="22" state="hidden" r:id="rId20"/>
    <sheet name="правонаруш" sheetId="9" state="hidden" r:id="rId21"/>
    <sheet name="молодежь" sheetId="12" state="hidden" r:id="rId22"/>
    <sheet name="спорт" sheetId="23" state="hidden" r:id="rId23"/>
    <sheet name="УК" sheetId="17" state="hidden" r:id="rId24"/>
    <sheet name="образ" sheetId="13" state="hidden" r:id="rId25"/>
    <sheet name="окр ср" sheetId="16" state="hidden" r:id="rId26"/>
    <sheet name="финансы" sheetId="10" state="hidden" r:id="rId27"/>
    <sheet name="крст" sheetId="24" state="hidden" r:id="rId28"/>
    <sheet name="газ" sheetId="20" state="hidden" r:id="rId29"/>
    <sheet name="Лист2" sheetId="31" state="hidden" r:id="rId30"/>
    <sheet name="Лист3" sheetId="32" state="hidden" r:id="rId31"/>
    <sheet name="Лист1" sheetId="30" state="hidden" r:id="rId32"/>
  </sheets>
  <definedNames>
    <definedName name="_xlnm._FilterDatabase" localSheetId="4" hidden="1">инд!$A$6:$G$454</definedName>
    <definedName name="_xlnm._FilterDatabase" localSheetId="3" hidden="1">мб!$A$4:$I$393</definedName>
    <definedName name="_xlnm._FilterDatabase" localSheetId="2" hidden="1">свод!$A$5:$Z$413</definedName>
    <definedName name="_xlnm.Print_Area" localSheetId="3">мб!$A$1:$D$392</definedName>
    <definedName name="_xlnm.Print_Area" localSheetId="5">оценка!$A$1:$U$8</definedName>
  </definedNames>
  <calcPr calcId="162913"/>
</workbook>
</file>

<file path=xl/calcChain.xml><?xml version="1.0" encoding="utf-8"?>
<calcChain xmlns="http://schemas.openxmlformats.org/spreadsheetml/2006/main">
  <c r="G49" i="21" l="1"/>
  <c r="F85" i="21"/>
  <c r="F82" i="21"/>
  <c r="F76" i="21"/>
  <c r="F77" i="21"/>
  <c r="F66" i="21"/>
  <c r="F67" i="21"/>
  <c r="F59" i="21"/>
  <c r="F56" i="21"/>
  <c r="F53" i="21"/>
  <c r="R167" i="26" l="1"/>
  <c r="L167" i="26"/>
  <c r="O55" i="26"/>
  <c r="C55" i="26"/>
  <c r="F410" i="26" l="1"/>
  <c r="F409" i="26" s="1"/>
  <c r="F408" i="26" s="1"/>
  <c r="F407" i="26" s="1"/>
  <c r="G410" i="26"/>
  <c r="G409" i="26" s="1"/>
  <c r="G408" i="26" s="1"/>
  <c r="G407" i="26" s="1"/>
  <c r="L108" i="26"/>
  <c r="O109" i="26"/>
  <c r="F448" i="21"/>
  <c r="F295" i="21"/>
  <c r="F386" i="26" l="1"/>
  <c r="C403" i="26"/>
  <c r="F398" i="26"/>
  <c r="O245" i="26" l="1"/>
  <c r="O246" i="26"/>
  <c r="O247" i="26"/>
  <c r="O248" i="26"/>
  <c r="I245" i="26"/>
  <c r="I246" i="26"/>
  <c r="I247" i="26"/>
  <c r="I248" i="26"/>
  <c r="O266" i="26"/>
  <c r="O267" i="26"/>
  <c r="O268" i="26"/>
  <c r="O269" i="26"/>
  <c r="I266" i="26"/>
  <c r="I267" i="26"/>
  <c r="I268" i="26"/>
  <c r="I269" i="26"/>
  <c r="O279" i="26"/>
  <c r="O280" i="26"/>
  <c r="O281" i="26"/>
  <c r="O282" i="26"/>
  <c r="O283" i="26"/>
  <c r="O284" i="26"/>
  <c r="O285" i="26"/>
  <c r="O286" i="26"/>
  <c r="I279" i="26"/>
  <c r="I280" i="26"/>
  <c r="I281" i="26"/>
  <c r="I282" i="26"/>
  <c r="I283" i="26"/>
  <c r="I284" i="26"/>
  <c r="I285" i="26"/>
  <c r="I286" i="26"/>
  <c r="D250" i="26"/>
  <c r="F235" i="26"/>
  <c r="G235" i="26"/>
  <c r="H235" i="26"/>
  <c r="E235" i="26"/>
  <c r="E285" i="26"/>
  <c r="F285" i="26"/>
  <c r="G285" i="26"/>
  <c r="H285" i="26"/>
  <c r="D285" i="26"/>
  <c r="C285" i="26" s="1"/>
  <c r="E279" i="26"/>
  <c r="F279" i="26"/>
  <c r="G279" i="26"/>
  <c r="H279" i="26"/>
  <c r="D279" i="26"/>
  <c r="C280" i="26"/>
  <c r="C281" i="26"/>
  <c r="C282" i="26"/>
  <c r="C283" i="26"/>
  <c r="C284" i="26"/>
  <c r="C286" i="26"/>
  <c r="E267" i="26"/>
  <c r="E266" i="26" s="1"/>
  <c r="F267" i="26"/>
  <c r="G267" i="26"/>
  <c r="G266" i="26" s="1"/>
  <c r="H267" i="26"/>
  <c r="H266" i="26" s="1"/>
  <c r="D267" i="26"/>
  <c r="D266" i="26" s="1"/>
  <c r="F266" i="26"/>
  <c r="C268" i="26"/>
  <c r="C269" i="26"/>
  <c r="E264" i="26"/>
  <c r="F264" i="26"/>
  <c r="G264" i="26"/>
  <c r="H264" i="26"/>
  <c r="D264" i="26"/>
  <c r="D262" i="26"/>
  <c r="E262" i="26"/>
  <c r="O257" i="26"/>
  <c r="O258" i="26"/>
  <c r="O259" i="26"/>
  <c r="O260" i="26"/>
  <c r="O261" i="26"/>
  <c r="O262" i="26"/>
  <c r="O263" i="26"/>
  <c r="O264" i="26"/>
  <c r="O265" i="26"/>
  <c r="I257" i="26"/>
  <c r="I258" i="26"/>
  <c r="I259" i="26"/>
  <c r="I260" i="26"/>
  <c r="I261" i="26"/>
  <c r="I262" i="26"/>
  <c r="I263" i="26"/>
  <c r="I264" i="26"/>
  <c r="I265" i="26"/>
  <c r="E258" i="26"/>
  <c r="E257" i="26" s="1"/>
  <c r="F258" i="26"/>
  <c r="G258" i="26"/>
  <c r="G257" i="26" s="1"/>
  <c r="H258" i="26"/>
  <c r="H257" i="26" s="1"/>
  <c r="D258" i="26"/>
  <c r="D257" i="26" s="1"/>
  <c r="F257" i="26"/>
  <c r="C259" i="26"/>
  <c r="C260" i="26"/>
  <c r="C261" i="26"/>
  <c r="C263" i="26"/>
  <c r="C265" i="26"/>
  <c r="H241" i="26"/>
  <c r="E241" i="26"/>
  <c r="E245" i="26"/>
  <c r="F245" i="26"/>
  <c r="G245" i="26"/>
  <c r="H245" i="26"/>
  <c r="D245" i="26"/>
  <c r="D240" i="26" s="1"/>
  <c r="F247" i="26"/>
  <c r="G247" i="26"/>
  <c r="H247" i="26"/>
  <c r="C246" i="26"/>
  <c r="C248" i="26"/>
  <c r="G243" i="26"/>
  <c r="H243" i="26"/>
  <c r="F243" i="26"/>
  <c r="F240" i="26" s="1"/>
  <c r="C208" i="26"/>
  <c r="E206" i="26"/>
  <c r="C245" i="26" l="1"/>
  <c r="E240" i="26"/>
  <c r="G240" i="26"/>
  <c r="H240" i="26"/>
  <c r="C264" i="26"/>
  <c r="C247" i="26"/>
  <c r="C262" i="26"/>
  <c r="C279" i="26"/>
  <c r="C267" i="26"/>
  <c r="C266" i="26"/>
  <c r="C257" i="26"/>
  <c r="C258" i="26"/>
  <c r="F193" i="26" l="1"/>
  <c r="F237" i="21" l="1"/>
  <c r="O70" i="26" l="1"/>
  <c r="O71" i="26"/>
  <c r="O72" i="26"/>
  <c r="O75" i="26"/>
  <c r="O76" i="26"/>
  <c r="O67" i="26"/>
  <c r="C212" i="26" l="1"/>
  <c r="F139" i="26" l="1"/>
  <c r="C135" i="26"/>
  <c r="C137" i="26"/>
  <c r="C140" i="26"/>
  <c r="C139" i="26" l="1"/>
  <c r="C8" i="26" l="1"/>
  <c r="S376" i="26" l="1"/>
  <c r="G136" i="27"/>
  <c r="E136" i="27"/>
  <c r="G135" i="27"/>
  <c r="E135" i="27"/>
  <c r="D134" i="27"/>
  <c r="C134" i="27"/>
  <c r="G133" i="27"/>
  <c r="G132" i="27"/>
  <c r="G131" i="27"/>
  <c r="E131" i="27"/>
  <c r="G130" i="27"/>
  <c r="E130" i="27"/>
  <c r="G129" i="27"/>
  <c r="E129" i="27"/>
  <c r="G128" i="27"/>
  <c r="E128" i="27"/>
  <c r="G127" i="27"/>
  <c r="E127" i="27"/>
  <c r="G126" i="27"/>
  <c r="E126" i="27"/>
  <c r="G125" i="27"/>
  <c r="E125" i="27"/>
  <c r="G124" i="27"/>
  <c r="E124" i="27"/>
  <c r="G123" i="27"/>
  <c r="E123" i="27"/>
  <c r="G122" i="27"/>
  <c r="E122" i="27"/>
  <c r="G121" i="27"/>
  <c r="E121" i="27"/>
  <c r="G120" i="27"/>
  <c r="E120" i="27"/>
  <c r="G119" i="27"/>
  <c r="E119" i="27"/>
  <c r="G118" i="27"/>
  <c r="E118" i="27"/>
  <c r="D117" i="27"/>
  <c r="C117" i="27"/>
  <c r="C116" i="27" s="1"/>
  <c r="C115" i="27" s="1"/>
  <c r="C102" i="27" s="1"/>
  <c r="G114" i="27"/>
  <c r="E114" i="27"/>
  <c r="G113" i="27"/>
  <c r="E113" i="27"/>
  <c r="G112" i="27"/>
  <c r="E112" i="27"/>
  <c r="G111" i="27"/>
  <c r="E111" i="27"/>
  <c r="D110" i="27"/>
  <c r="E110" i="27" s="1"/>
  <c r="C110" i="27"/>
  <c r="E109" i="27"/>
  <c r="G108" i="27"/>
  <c r="E108" i="27"/>
  <c r="G107" i="27"/>
  <c r="E107" i="27"/>
  <c r="D106" i="27"/>
  <c r="C106" i="27"/>
  <c r="C105" i="27" s="1"/>
  <c r="G104" i="27"/>
  <c r="E104" i="27"/>
  <c r="G103" i="27"/>
  <c r="E103" i="27"/>
  <c r="E117" i="27" l="1"/>
  <c r="E134" i="27"/>
  <c r="G106" i="27"/>
  <c r="D116" i="27"/>
  <c r="E106" i="27"/>
  <c r="G110" i="27"/>
  <c r="G117" i="27"/>
  <c r="G134" i="27"/>
  <c r="D105" i="27"/>
  <c r="E105" i="27" s="1"/>
  <c r="G408" i="21"/>
  <c r="E116" i="27" l="1"/>
  <c r="D115" i="27"/>
  <c r="G116" i="27"/>
  <c r="G105" i="27"/>
  <c r="K195" i="26"/>
  <c r="J195" i="26"/>
  <c r="N195" i="26"/>
  <c r="E115" i="27" l="1"/>
  <c r="G115" i="27"/>
  <c r="F169" i="21"/>
  <c r="F168" i="21"/>
  <c r="L74" i="26" l="1"/>
  <c r="I74" i="26" s="1"/>
  <c r="E13" i="17" l="1"/>
  <c r="E12" i="17"/>
  <c r="E11" i="17"/>
  <c r="E10" i="17"/>
  <c r="E9" i="17"/>
  <c r="F99" i="21" l="1"/>
  <c r="F393" i="21" l="1"/>
  <c r="F382" i="21"/>
  <c r="F381" i="21"/>
  <c r="F375" i="21"/>
  <c r="F373" i="21"/>
  <c r="F367" i="21"/>
  <c r="F366" i="21"/>
  <c r="F364" i="21"/>
  <c r="F363" i="21"/>
  <c r="F362" i="21"/>
  <c r="F361" i="21"/>
  <c r="F360" i="21"/>
  <c r="F331" i="21"/>
  <c r="F330" i="21"/>
  <c r="F328" i="21"/>
  <c r="F326" i="21"/>
  <c r="F325" i="21"/>
  <c r="F324" i="21"/>
  <c r="F323" i="21"/>
  <c r="F319" i="21"/>
  <c r="F318" i="21"/>
  <c r="F317" i="21"/>
  <c r="F316" i="21"/>
  <c r="F315" i="21"/>
  <c r="F313" i="21"/>
  <c r="F312" i="21"/>
  <c r="F276" i="21"/>
  <c r="E394" i="21"/>
  <c r="F394" i="21" s="1"/>
  <c r="E392" i="21"/>
  <c r="F392" i="21" s="1"/>
  <c r="E387" i="21"/>
  <c r="F387" i="21" s="1"/>
  <c r="E386" i="21"/>
  <c r="F386" i="21" s="1"/>
  <c r="E378" i="21"/>
  <c r="F378" i="21" s="1"/>
  <c r="E377" i="21"/>
  <c r="F377" i="21" s="1"/>
  <c r="E376" i="21"/>
  <c r="F376" i="21" s="1"/>
  <c r="E372" i="21"/>
  <c r="F372" i="21" s="1"/>
  <c r="E371" i="21"/>
  <c r="F371" i="21" s="1"/>
  <c r="E368" i="21"/>
  <c r="F368" i="21" s="1"/>
  <c r="E365" i="21"/>
  <c r="F365" i="21" s="1"/>
  <c r="E359" i="21"/>
  <c r="F359" i="21" s="1"/>
  <c r="E356" i="21"/>
  <c r="F356" i="21" s="1"/>
  <c r="E349" i="21"/>
  <c r="E345" i="21"/>
  <c r="F345" i="21" s="1"/>
  <c r="E344" i="21"/>
  <c r="F344" i="21" s="1"/>
  <c r="E343" i="21"/>
  <c r="F343" i="21" s="1"/>
  <c r="E342" i="21"/>
  <c r="F342" i="21" s="1"/>
  <c r="E340" i="21"/>
  <c r="F340" i="21" s="1"/>
  <c r="E339" i="21"/>
  <c r="F339" i="21" s="1"/>
  <c r="E338" i="21"/>
  <c r="F338" i="21" s="1"/>
  <c r="E336" i="21"/>
  <c r="F336" i="21" s="1"/>
  <c r="E335" i="21"/>
  <c r="F335" i="21" s="1"/>
  <c r="E334" i="21"/>
  <c r="F334" i="21" s="1"/>
  <c r="E333" i="21"/>
  <c r="F333" i="21" s="1"/>
  <c r="E322" i="21"/>
  <c r="F322" i="21" s="1"/>
  <c r="E321" i="21"/>
  <c r="F321" i="21" s="1"/>
  <c r="E320" i="21"/>
  <c r="F320" i="21" s="1"/>
  <c r="E12" i="8" l="1"/>
  <c r="E13" i="8"/>
  <c r="E13" i="22"/>
  <c r="T32" i="26" l="1"/>
  <c r="E13" i="19" l="1"/>
  <c r="E12" i="19"/>
  <c r="E11" i="19"/>
  <c r="E10" i="19"/>
  <c r="E9" i="19"/>
  <c r="E13" i="24" l="1"/>
  <c r="E12" i="24"/>
  <c r="E11" i="24"/>
  <c r="E10" i="24"/>
  <c r="E9" i="24"/>
  <c r="E13" i="20"/>
  <c r="E12" i="20"/>
  <c r="E11" i="20"/>
  <c r="E10" i="20"/>
  <c r="E9" i="20"/>
  <c r="E13" i="10"/>
  <c r="E12" i="10"/>
  <c r="E11" i="10"/>
  <c r="E10" i="10"/>
  <c r="E9" i="10"/>
  <c r="E13" i="16"/>
  <c r="E12" i="16"/>
  <c r="E11" i="16"/>
  <c r="E10" i="16"/>
  <c r="E9" i="16"/>
  <c r="E13" i="13"/>
  <c r="E12" i="13"/>
  <c r="E11" i="13"/>
  <c r="E10" i="13"/>
  <c r="E9" i="13"/>
  <c r="E13" i="23"/>
  <c r="E12" i="23"/>
  <c r="E11" i="23"/>
  <c r="E10" i="23"/>
  <c r="E9" i="23"/>
  <c r="E13" i="12"/>
  <c r="E12" i="12"/>
  <c r="E11" i="12"/>
  <c r="E10" i="12"/>
  <c r="E9" i="12"/>
  <c r="E11" i="8"/>
  <c r="E10" i="8"/>
  <c r="E9" i="8"/>
  <c r="E13" i="15"/>
  <c r="E12" i="15"/>
  <c r="E11" i="15"/>
  <c r="E10" i="15"/>
  <c r="E9" i="15"/>
  <c r="E13" i="5"/>
  <c r="E12" i="5"/>
  <c r="E11" i="5"/>
  <c r="E10" i="5"/>
  <c r="E9" i="5"/>
  <c r="E14" i="5" s="1"/>
  <c r="E13" i="6"/>
  <c r="E12" i="6"/>
  <c r="E11" i="6"/>
  <c r="E10" i="6"/>
  <c r="E9" i="6"/>
  <c r="E13" i="4"/>
  <c r="E12" i="4"/>
  <c r="E11" i="4"/>
  <c r="E10" i="4"/>
  <c r="E9" i="4"/>
  <c r="E13" i="7"/>
  <c r="E12" i="7"/>
  <c r="E11" i="7"/>
  <c r="E10" i="7"/>
  <c r="E9" i="7"/>
  <c r="E13" i="14"/>
  <c r="E12" i="14"/>
  <c r="E11" i="14"/>
  <c r="E10" i="14"/>
  <c r="E9" i="14"/>
  <c r="E13" i="11"/>
  <c r="E12" i="11"/>
  <c r="E11" i="11"/>
  <c r="E10" i="11"/>
  <c r="E9" i="11"/>
  <c r="E13" i="25"/>
  <c r="E12" i="25"/>
  <c r="E11" i="25"/>
  <c r="E10" i="25"/>
  <c r="E9" i="25"/>
  <c r="E13" i="18"/>
  <c r="E12" i="18"/>
  <c r="E11" i="18"/>
  <c r="E10" i="18"/>
  <c r="E9" i="18"/>
  <c r="E14" i="18" s="1"/>
  <c r="E14" i="19"/>
  <c r="E14" i="7" l="1"/>
  <c r="E14" i="24"/>
  <c r="E14" i="20"/>
  <c r="E14" i="10"/>
  <c r="E14" i="25"/>
  <c r="E14" i="17"/>
  <c r="E14" i="11"/>
  <c r="E14" i="14"/>
  <c r="E14" i="16"/>
  <c r="E14" i="4"/>
  <c r="E14" i="15"/>
  <c r="E14" i="6"/>
  <c r="E14" i="13"/>
  <c r="E14" i="23"/>
  <c r="E14" i="12"/>
  <c r="E14" i="8"/>
  <c r="D239" i="27" l="1"/>
  <c r="C239" i="27"/>
  <c r="E235" i="27"/>
  <c r="G235" i="27"/>
  <c r="E241" i="27"/>
  <c r="G241" i="27"/>
  <c r="E242" i="27"/>
  <c r="G242" i="27"/>
  <c r="C251" i="27"/>
  <c r="D251" i="27"/>
  <c r="E252" i="27"/>
  <c r="G252" i="27"/>
  <c r="G253" i="27"/>
  <c r="E270" i="26"/>
  <c r="C222" i="26"/>
  <c r="C223" i="26"/>
  <c r="C224" i="26"/>
  <c r="C277" i="26"/>
  <c r="C278" i="26"/>
  <c r="C270" i="26"/>
  <c r="C271" i="26"/>
  <c r="I277" i="26"/>
  <c r="Q270" i="26"/>
  <c r="K270" i="26"/>
  <c r="R219" i="26"/>
  <c r="L219" i="26"/>
  <c r="O223" i="26"/>
  <c r="O224" i="26"/>
  <c r="R270" i="26"/>
  <c r="O270" i="26" s="1"/>
  <c r="L270" i="26"/>
  <c r="O271" i="26"/>
  <c r="I271" i="26"/>
  <c r="I223" i="26"/>
  <c r="I224" i="26"/>
  <c r="I270" i="26" l="1"/>
  <c r="E251" i="27"/>
  <c r="G251" i="27"/>
  <c r="L235" i="26" l="1"/>
  <c r="L215" i="26"/>
  <c r="L210" i="26"/>
  <c r="L78" i="26" l="1"/>
  <c r="R124" i="26" l="1"/>
  <c r="L116" i="26"/>
  <c r="C90" i="27"/>
  <c r="D93" i="27"/>
  <c r="C93" i="27"/>
  <c r="D97" i="27"/>
  <c r="C97" i="27"/>
  <c r="R375" i="26" l="1"/>
  <c r="R374" i="26"/>
  <c r="R371" i="26"/>
  <c r="R370" i="26"/>
  <c r="R364" i="26" s="1"/>
  <c r="R369" i="26"/>
  <c r="R352" i="26"/>
  <c r="R319" i="26"/>
  <c r="R302" i="26"/>
  <c r="Q299" i="26"/>
  <c r="R294" i="26"/>
  <c r="L358" i="26"/>
  <c r="L357" i="26"/>
  <c r="L352" i="26" s="1"/>
  <c r="L375" i="26"/>
  <c r="L374" i="26"/>
  <c r="L373" i="26"/>
  <c r="I371" i="26"/>
  <c r="L370" i="26"/>
  <c r="L364" i="26" s="1"/>
  <c r="L339" i="26"/>
  <c r="L338" i="26"/>
  <c r="L326" i="26"/>
  <c r="L319" i="26"/>
  <c r="L304" i="26"/>
  <c r="L302" i="26"/>
  <c r="K299" i="26"/>
  <c r="K298" i="26"/>
  <c r="L298" i="26"/>
  <c r="L294" i="26"/>
  <c r="E348" i="27"/>
  <c r="E349" i="27"/>
  <c r="E350" i="27"/>
  <c r="E351" i="27"/>
  <c r="E352" i="27"/>
  <c r="E353" i="27"/>
  <c r="E354" i="27"/>
  <c r="E355" i="27"/>
  <c r="E356" i="27"/>
  <c r="E357" i="27"/>
  <c r="E358" i="27"/>
  <c r="E359" i="27"/>
  <c r="E362" i="27"/>
  <c r="E363" i="27"/>
  <c r="E366" i="27"/>
  <c r="E368" i="27"/>
  <c r="E372" i="27"/>
  <c r="E373" i="27"/>
  <c r="E374" i="27"/>
  <c r="E375" i="27"/>
  <c r="E377" i="27"/>
  <c r="E378" i="27"/>
  <c r="E379" i="27"/>
  <c r="E380" i="27"/>
  <c r="E382" i="27"/>
  <c r="E383" i="27"/>
  <c r="E384" i="27"/>
  <c r="E385" i="27"/>
  <c r="E386" i="27"/>
  <c r="E387" i="27"/>
  <c r="E389" i="27"/>
  <c r="E390" i="27"/>
  <c r="E391" i="27"/>
  <c r="D381" i="27"/>
  <c r="C381" i="27"/>
  <c r="C388" i="27"/>
  <c r="D388" i="27"/>
  <c r="C347" i="27"/>
  <c r="E338" i="27"/>
  <c r="E340" i="27"/>
  <c r="E343" i="27"/>
  <c r="E344" i="27"/>
  <c r="E345" i="27"/>
  <c r="E346" i="27"/>
  <c r="D322" i="27"/>
  <c r="E320" i="27"/>
  <c r="G320" i="27"/>
  <c r="D317" i="27"/>
  <c r="C317" i="27"/>
  <c r="C322" i="27"/>
  <c r="C328" i="27"/>
  <c r="D328" i="27"/>
  <c r="C339" i="27"/>
  <c r="D339" i="27"/>
  <c r="C342" i="27"/>
  <c r="E342" i="27" s="1"/>
  <c r="D342" i="27"/>
  <c r="D347" i="27"/>
  <c r="D341" i="27" s="1"/>
  <c r="C361" i="27"/>
  <c r="C360" i="27" s="1"/>
  <c r="D361" i="27"/>
  <c r="D360" i="27" s="1"/>
  <c r="C365" i="27"/>
  <c r="D365" i="27"/>
  <c r="C367" i="27"/>
  <c r="D367" i="27"/>
  <c r="C371" i="27"/>
  <c r="D371" i="27"/>
  <c r="E371" i="27" s="1"/>
  <c r="C376" i="27"/>
  <c r="D376" i="27"/>
  <c r="E376" i="27" l="1"/>
  <c r="E367" i="27"/>
  <c r="E360" i="27"/>
  <c r="E381" i="27"/>
  <c r="L372" i="26"/>
  <c r="E339" i="27"/>
  <c r="E317" i="27"/>
  <c r="G388" i="27"/>
  <c r="D364" i="27"/>
  <c r="E388" i="27"/>
  <c r="C364" i="27"/>
  <c r="E365" i="27"/>
  <c r="E361" i="27"/>
  <c r="C370" i="27"/>
  <c r="C369" i="27" s="1"/>
  <c r="D370" i="27"/>
  <c r="C341" i="27"/>
  <c r="E341" i="27" s="1"/>
  <c r="D321" i="27"/>
  <c r="C321" i="27"/>
  <c r="D369" i="27" l="1"/>
  <c r="E369" i="27" s="1"/>
  <c r="E370" i="27"/>
  <c r="E364" i="27"/>
  <c r="C316" i="27"/>
  <c r="D316" i="27" l="1"/>
  <c r="E12" i="2"/>
  <c r="E13" i="2"/>
  <c r="E11" i="2"/>
  <c r="E10" i="2"/>
  <c r="E9" i="2"/>
  <c r="E12" i="22"/>
  <c r="E11" i="22"/>
  <c r="E10" i="22"/>
  <c r="E9" i="22"/>
  <c r="E14" i="22" l="1"/>
  <c r="E14" i="2"/>
  <c r="I411" i="26"/>
  <c r="L410" i="26" l="1"/>
  <c r="D80" i="27" l="1"/>
  <c r="C80" i="27"/>
  <c r="D71" i="27"/>
  <c r="C71" i="27"/>
  <c r="D64" i="27"/>
  <c r="D58" i="27" s="1"/>
  <c r="C64" i="27"/>
  <c r="C58" i="27" s="1"/>
  <c r="C51" i="27" s="1"/>
  <c r="C59" i="27"/>
  <c r="R131" i="26"/>
  <c r="R51" i="26" l="1"/>
  <c r="L51" i="26" l="1"/>
  <c r="I51" i="26" s="1"/>
  <c r="I55" i="26"/>
  <c r="D25" i="27"/>
  <c r="G26" i="27"/>
  <c r="E26" i="27"/>
  <c r="D168" i="27" l="1"/>
  <c r="F27" i="21" l="1"/>
  <c r="P10" i="26" l="1"/>
  <c r="P6" i="26" s="1"/>
  <c r="R18" i="26"/>
  <c r="J10" i="26"/>
  <c r="L18" i="26"/>
  <c r="I199" i="26" l="1"/>
  <c r="D284" i="27"/>
  <c r="C285" i="27"/>
  <c r="E285" i="27" s="1"/>
  <c r="C283" i="27"/>
  <c r="D278" i="27"/>
  <c r="C279" i="27"/>
  <c r="C278" i="27" s="1"/>
  <c r="C284" i="27" l="1"/>
  <c r="F439" i="21"/>
  <c r="D199" i="27" l="1"/>
  <c r="C199" i="27"/>
  <c r="D201" i="27"/>
  <c r="C201" i="27"/>
  <c r="D196" i="27"/>
  <c r="C191" i="27"/>
  <c r="D187" i="27"/>
  <c r="C198" i="27" l="1"/>
  <c r="D198" i="27"/>
  <c r="L400" i="26"/>
  <c r="R400" i="26" l="1"/>
  <c r="L391" i="26"/>
  <c r="R386" i="26"/>
  <c r="R379" i="26"/>
  <c r="R377" i="26" s="1"/>
  <c r="I403" i="26"/>
  <c r="I392" i="26"/>
  <c r="L398" i="26"/>
  <c r="L397" i="26" s="1"/>
  <c r="L386" i="26"/>
  <c r="I391" i="26" l="1"/>
  <c r="L389" i="26"/>
  <c r="D294" i="21"/>
  <c r="F293" i="21"/>
  <c r="F292" i="21"/>
  <c r="F291" i="21"/>
  <c r="F290" i="21"/>
  <c r="F289" i="21"/>
  <c r="F288" i="21"/>
  <c r="F287" i="21"/>
  <c r="F285" i="21"/>
  <c r="F283" i="21"/>
  <c r="F282" i="21"/>
  <c r="F281" i="21"/>
  <c r="F280" i="21"/>
  <c r="F279" i="21"/>
  <c r="F277" i="21"/>
  <c r="F274" i="21"/>
  <c r="F275" i="21"/>
  <c r="F91" i="21"/>
  <c r="D147" i="27" l="1"/>
  <c r="D47" i="27" l="1"/>
  <c r="R78" i="26" l="1"/>
  <c r="F146" i="21"/>
  <c r="F143" i="21"/>
  <c r="F141" i="21"/>
  <c r="F138" i="21"/>
  <c r="F134" i="21"/>
  <c r="F131" i="21"/>
  <c r="F130" i="21"/>
  <c r="F129" i="21"/>
  <c r="F127" i="21"/>
  <c r="F126" i="21"/>
  <c r="F125" i="21"/>
  <c r="F123" i="21"/>
  <c r="F122" i="21"/>
  <c r="D120" i="21"/>
  <c r="D119" i="21"/>
  <c r="D118" i="21"/>
  <c r="F115" i="21"/>
  <c r="F116" i="21"/>
  <c r="F114" i="21"/>
  <c r="F106" i="21"/>
  <c r="F105" i="21"/>
  <c r="F104" i="21"/>
  <c r="F103" i="21"/>
  <c r="F102" i="21"/>
  <c r="F101" i="21"/>
  <c r="F92" i="21"/>
  <c r="F93" i="21"/>
  <c r="F94" i="21"/>
  <c r="F95" i="21"/>
  <c r="F96" i="21"/>
  <c r="F97" i="21"/>
  <c r="F98" i="21"/>
  <c r="F110" i="21"/>
  <c r="F111" i="21"/>
  <c r="F112" i="21"/>
  <c r="Q206" i="26" l="1"/>
  <c r="R206" i="26"/>
  <c r="S206" i="26"/>
  <c r="T206" i="26"/>
  <c r="O204" i="26"/>
  <c r="O205" i="26"/>
  <c r="O207" i="26"/>
  <c r="O208" i="26"/>
  <c r="O209" i="26"/>
  <c r="O211" i="26"/>
  <c r="O214" i="26"/>
  <c r="O216" i="26"/>
  <c r="O217" i="26"/>
  <c r="O218" i="26"/>
  <c r="O220" i="26"/>
  <c r="O221" i="26"/>
  <c r="O222" i="26"/>
  <c r="O226" i="26"/>
  <c r="O228" i="26"/>
  <c r="O230" i="26"/>
  <c r="O231" i="26"/>
  <c r="O233" i="26"/>
  <c r="O234" i="26"/>
  <c r="O236" i="26"/>
  <c r="O237" i="26"/>
  <c r="O238" i="26"/>
  <c r="O239" i="26"/>
  <c r="O242" i="26"/>
  <c r="O244" i="26"/>
  <c r="O251" i="26"/>
  <c r="O252" i="26"/>
  <c r="O254" i="26"/>
  <c r="O256" i="26"/>
  <c r="O274" i="26"/>
  <c r="O276" i="26"/>
  <c r="O277" i="26"/>
  <c r="O278" i="26"/>
  <c r="T243" i="26"/>
  <c r="T241" i="26"/>
  <c r="R235" i="26"/>
  <c r="Q241" i="26"/>
  <c r="Q240" i="26" s="1"/>
  <c r="Q275" i="26"/>
  <c r="J275" i="26"/>
  <c r="S240" i="26"/>
  <c r="R241" i="26"/>
  <c r="R243" i="26"/>
  <c r="O243" i="26" s="1"/>
  <c r="R229" i="26"/>
  <c r="I204" i="26"/>
  <c r="I205" i="26"/>
  <c r="I207" i="26"/>
  <c r="I208" i="26"/>
  <c r="I209" i="26"/>
  <c r="I211" i="26"/>
  <c r="I214" i="26"/>
  <c r="I216" i="26"/>
  <c r="I217" i="26"/>
  <c r="I218" i="26"/>
  <c r="I220" i="26"/>
  <c r="I221" i="26"/>
  <c r="I222" i="26"/>
  <c r="I226" i="26"/>
  <c r="I228" i="26"/>
  <c r="I230" i="26"/>
  <c r="I231" i="26"/>
  <c r="I233" i="26"/>
  <c r="I234" i="26"/>
  <c r="I237" i="26"/>
  <c r="I238" i="26"/>
  <c r="I239" i="26"/>
  <c r="I242" i="26"/>
  <c r="I244" i="26"/>
  <c r="I251" i="26"/>
  <c r="I252" i="26"/>
  <c r="I254" i="26"/>
  <c r="I256" i="26"/>
  <c r="I274" i="26"/>
  <c r="I278" i="26"/>
  <c r="K235" i="26"/>
  <c r="K241" i="26"/>
  <c r="K240" i="26" s="1"/>
  <c r="M240" i="26"/>
  <c r="N241" i="26"/>
  <c r="N243" i="26"/>
  <c r="L241" i="26"/>
  <c r="L243" i="26"/>
  <c r="L227" i="26"/>
  <c r="L276" i="26"/>
  <c r="L275" i="26" s="1"/>
  <c r="D249" i="27"/>
  <c r="D246" i="27"/>
  <c r="D243" i="27"/>
  <c r="D236" i="27"/>
  <c r="D233" i="27"/>
  <c r="D231" i="27"/>
  <c r="D230" i="27" s="1"/>
  <c r="D229" i="27" s="1"/>
  <c r="C249" i="27"/>
  <c r="C246" i="27"/>
  <c r="C243" i="27"/>
  <c r="E239" i="27"/>
  <c r="C236" i="27"/>
  <c r="C233" i="27"/>
  <c r="C231" i="27"/>
  <c r="C230" i="27" s="1"/>
  <c r="C229" i="27" s="1"/>
  <c r="E232" i="27"/>
  <c r="E234" i="27"/>
  <c r="E237" i="27"/>
  <c r="E238" i="27"/>
  <c r="E240" i="27"/>
  <c r="E244" i="27"/>
  <c r="E245" i="27"/>
  <c r="E248" i="27"/>
  <c r="E250" i="27"/>
  <c r="E253" i="27"/>
  <c r="T240" i="26" l="1"/>
  <c r="L240" i="26"/>
  <c r="E233" i="27"/>
  <c r="G229" i="27"/>
  <c r="E236" i="27"/>
  <c r="E231" i="27"/>
  <c r="E246" i="27"/>
  <c r="E249" i="27"/>
  <c r="O241" i="26"/>
  <c r="I241" i="26"/>
  <c r="R240" i="26"/>
  <c r="I276" i="26"/>
  <c r="I243" i="26"/>
  <c r="N240" i="26"/>
  <c r="E243" i="27"/>
  <c r="E247" i="27"/>
  <c r="E230" i="27" l="1"/>
  <c r="R32" i="26" l="1"/>
  <c r="L32" i="26"/>
  <c r="D301" i="27"/>
  <c r="C301" i="27"/>
  <c r="E302" i="27"/>
  <c r="G302" i="27"/>
  <c r="D299" i="27"/>
  <c r="C299" i="27"/>
  <c r="E301" i="27" l="1"/>
  <c r="G301" i="27"/>
  <c r="F200" i="21"/>
  <c r="E12" i="9" l="1"/>
  <c r="E13" i="9"/>
  <c r="E14" i="9"/>
  <c r="E15" i="9"/>
  <c r="E11" i="9"/>
  <c r="F250" i="21"/>
  <c r="F247" i="21"/>
  <c r="F246" i="21"/>
  <c r="F220" i="21"/>
  <c r="G212" i="21" s="1"/>
  <c r="D36" i="27"/>
  <c r="C36" i="27"/>
  <c r="E16" i="9" l="1"/>
  <c r="R74" i="26"/>
  <c r="O74" i="26" s="1"/>
  <c r="R80" i="26"/>
  <c r="R77" i="26" s="1"/>
  <c r="R83" i="26"/>
  <c r="I76" i="26"/>
  <c r="I75" i="26"/>
  <c r="I72" i="26"/>
  <c r="I71" i="26"/>
  <c r="I70" i="26"/>
  <c r="R69" i="26"/>
  <c r="L69" i="26"/>
  <c r="I69" i="26" s="1"/>
  <c r="Q68" i="26"/>
  <c r="Q66" i="26" s="1"/>
  <c r="K68" i="26"/>
  <c r="K66" i="26" s="1"/>
  <c r="I67" i="26"/>
  <c r="U67" i="26" s="1"/>
  <c r="V67" i="26" s="1"/>
  <c r="R68" i="26" l="1"/>
  <c r="O69" i="26"/>
  <c r="L73" i="26"/>
  <c r="I73" i="26" s="1"/>
  <c r="L68" i="26"/>
  <c r="O68" i="26"/>
  <c r="R73" i="26"/>
  <c r="O73" i="26" s="1"/>
  <c r="L66" i="26" l="1"/>
  <c r="I66" i="26" s="1"/>
  <c r="U66" i="26" s="1"/>
  <c r="I68" i="26"/>
  <c r="R66" i="26"/>
  <c r="O66" i="26" s="1"/>
  <c r="L187" i="26" l="1"/>
  <c r="G261" i="27" l="1"/>
  <c r="G262" i="27"/>
  <c r="G263" i="27"/>
  <c r="G264" i="27"/>
  <c r="G265" i="27"/>
  <c r="G268" i="27"/>
  <c r="D266" i="27"/>
  <c r="C266" i="27"/>
  <c r="E268" i="27"/>
  <c r="D256" i="27"/>
  <c r="E265" i="27"/>
  <c r="E264" i="27"/>
  <c r="E263" i="27"/>
  <c r="E262" i="27"/>
  <c r="E261" i="27"/>
  <c r="D204" i="27" l="1"/>
  <c r="D227" i="27"/>
  <c r="D226" i="27" s="1"/>
  <c r="C227" i="27"/>
  <c r="C226" i="27" s="1"/>
  <c r="C220" i="27"/>
  <c r="D31" i="27"/>
  <c r="D30" i="27" s="1"/>
  <c r="R418" i="26" l="1"/>
  <c r="C257" i="27" l="1"/>
  <c r="C256" i="27" s="1"/>
  <c r="G293" i="26"/>
  <c r="S293" i="26"/>
  <c r="S301" i="26"/>
  <c r="M301" i="26"/>
  <c r="G301" i="26"/>
  <c r="S287" i="26"/>
  <c r="M287" i="26"/>
  <c r="G287" i="26"/>
  <c r="O168" i="26"/>
  <c r="O167" i="26"/>
  <c r="I167" i="26"/>
  <c r="C165" i="26"/>
  <c r="C166" i="26"/>
  <c r="C167" i="26"/>
  <c r="C168" i="26"/>
  <c r="C161" i="26"/>
  <c r="C162" i="26"/>
  <c r="F14" i="26"/>
  <c r="T10" i="26"/>
  <c r="S10" i="26"/>
  <c r="N10" i="26"/>
  <c r="H10" i="26"/>
  <c r="R14" i="26"/>
  <c r="C234" i="26"/>
  <c r="C218" i="26"/>
  <c r="C217" i="26"/>
  <c r="C216" i="26"/>
  <c r="C214" i="26"/>
  <c r="C231" i="26"/>
  <c r="P240" i="26"/>
  <c r="O240" i="26" s="1"/>
  <c r="J240" i="26"/>
  <c r="I240" i="26" s="1"/>
  <c r="C241" i="26"/>
  <c r="C243" i="26"/>
  <c r="C244" i="26"/>
  <c r="R210" i="26"/>
  <c r="R213" i="26"/>
  <c r="L213" i="26"/>
  <c r="I213" i="26" s="1"/>
  <c r="F213" i="26"/>
  <c r="C213" i="26" s="1"/>
  <c r="I215" i="26"/>
  <c r="F210" i="26"/>
  <c r="R215" i="26"/>
  <c r="O215" i="26" s="1"/>
  <c r="F215" i="26"/>
  <c r="C215" i="26" s="1"/>
  <c r="O213" i="26" l="1"/>
  <c r="C240" i="26"/>
  <c r="C226" i="26"/>
  <c r="S235" i="26" l="1"/>
  <c r="F40" i="26" l="1"/>
  <c r="F149" i="26" l="1"/>
  <c r="F273" i="26" l="1"/>
  <c r="L14" i="26"/>
  <c r="F10" i="26"/>
  <c r="I13" i="26"/>
  <c r="O13" i="26"/>
  <c r="C13" i="26"/>
  <c r="R8" i="26"/>
  <c r="L8" i="26"/>
  <c r="R10" i="26" l="1"/>
  <c r="L10" i="26"/>
  <c r="M10" i="26" l="1"/>
  <c r="T410" i="26"/>
  <c r="T409" i="26" s="1"/>
  <c r="T408" i="26" s="1"/>
  <c r="R410" i="26"/>
  <c r="R409" i="26" s="1"/>
  <c r="R408" i="26" s="1"/>
  <c r="Q410" i="26"/>
  <c r="Q409" i="26" s="1"/>
  <c r="Q408" i="26" s="1"/>
  <c r="P410" i="26"/>
  <c r="P409" i="26" s="1"/>
  <c r="P408" i="26" s="1"/>
  <c r="N410" i="26"/>
  <c r="N409" i="26" s="1"/>
  <c r="N408" i="26" s="1"/>
  <c r="K410" i="26"/>
  <c r="K409" i="26" s="1"/>
  <c r="K408" i="26" s="1"/>
  <c r="J410" i="26"/>
  <c r="J409" i="26" s="1"/>
  <c r="J408" i="26" s="1"/>
  <c r="D410" i="26"/>
  <c r="D409" i="26" s="1"/>
  <c r="D408" i="26" s="1"/>
  <c r="Q88" i="26" l="1"/>
  <c r="Q82" i="26" s="1"/>
  <c r="K88" i="26"/>
  <c r="K82" i="26" s="1"/>
  <c r="L88" i="26"/>
  <c r="F121" i="26"/>
  <c r="F119" i="26"/>
  <c r="F144" i="26" l="1"/>
  <c r="F138" i="26" s="1"/>
  <c r="F153" i="26"/>
  <c r="C156" i="26"/>
  <c r="O148" i="26"/>
  <c r="I148" i="26"/>
  <c r="C148" i="26"/>
  <c r="O147" i="26"/>
  <c r="I147" i="26"/>
  <c r="C147" i="26"/>
  <c r="F136" i="26"/>
  <c r="C136" i="26" s="1"/>
  <c r="O137" i="26"/>
  <c r="I137" i="26"/>
  <c r="R405" i="26" l="1"/>
  <c r="R391" i="26"/>
  <c r="R398" i="26"/>
  <c r="R397" i="26" s="1"/>
  <c r="Y412" i="26" l="1"/>
  <c r="Z412" i="26" s="1"/>
  <c r="F52" i="21"/>
  <c r="U412" i="26" l="1"/>
  <c r="T398" i="26"/>
  <c r="T397" i="26" s="1"/>
  <c r="T386" i="26"/>
  <c r="T385" i="26" s="1"/>
  <c r="M398" i="26"/>
  <c r="M397" i="26" s="1"/>
  <c r="N398" i="26"/>
  <c r="N397" i="26" s="1"/>
  <c r="M386" i="26"/>
  <c r="M385" i="26" s="1"/>
  <c r="N386" i="26"/>
  <c r="N385" i="26" s="1"/>
  <c r="O411" i="26"/>
  <c r="C411" i="26"/>
  <c r="I410" i="26"/>
  <c r="H410" i="26"/>
  <c r="H409" i="26" s="1"/>
  <c r="H408" i="26" s="1"/>
  <c r="H407" i="26" s="1"/>
  <c r="E410" i="26"/>
  <c r="E409" i="26" s="1"/>
  <c r="E408" i="26" s="1"/>
  <c r="E407" i="26" s="1"/>
  <c r="T407" i="26"/>
  <c r="S407" i="26"/>
  <c r="Q407" i="26"/>
  <c r="P407" i="26"/>
  <c r="N407" i="26"/>
  <c r="M407" i="26"/>
  <c r="K407" i="26"/>
  <c r="J407" i="26"/>
  <c r="D407" i="26"/>
  <c r="T376" i="26" l="1"/>
  <c r="O410" i="26"/>
  <c r="C410" i="26"/>
  <c r="C409" i="26" s="1"/>
  <c r="C408" i="26" s="1"/>
  <c r="C407" i="26" s="1"/>
  <c r="N376" i="26"/>
  <c r="M376" i="26"/>
  <c r="O409" i="26"/>
  <c r="L409" i="26"/>
  <c r="I409" i="26" l="1"/>
  <c r="L408" i="26"/>
  <c r="O408" i="26"/>
  <c r="O407" i="26" s="1"/>
  <c r="R407" i="26"/>
  <c r="L407" i="26" l="1"/>
  <c r="I408" i="26"/>
  <c r="I407" i="26" s="1"/>
  <c r="U407" i="26" s="1"/>
  <c r="Y407" i="26" l="1"/>
  <c r="Z407" i="26" s="1"/>
  <c r="V407" i="26"/>
  <c r="P376" i="26"/>
  <c r="Q376" i="26"/>
  <c r="J376" i="26"/>
  <c r="K376" i="26"/>
  <c r="G392" i="27"/>
  <c r="G368" i="27"/>
  <c r="G338" i="27"/>
  <c r="G337" i="27"/>
  <c r="E337" i="27"/>
  <c r="G336" i="27"/>
  <c r="E336" i="27"/>
  <c r="G335" i="27"/>
  <c r="E335" i="27"/>
  <c r="G334" i="27"/>
  <c r="E334" i="27"/>
  <c r="G333" i="27"/>
  <c r="E333" i="27"/>
  <c r="G332" i="27"/>
  <c r="E332" i="27"/>
  <c r="G331" i="27"/>
  <c r="G330" i="27"/>
  <c r="E330" i="27"/>
  <c r="G327" i="27"/>
  <c r="E327" i="27"/>
  <c r="G326" i="27"/>
  <c r="E326" i="27"/>
  <c r="G325" i="27"/>
  <c r="E325" i="27"/>
  <c r="G324" i="27"/>
  <c r="E324" i="27"/>
  <c r="E323" i="27"/>
  <c r="G319" i="27"/>
  <c r="E319" i="27"/>
  <c r="G315" i="27"/>
  <c r="E315" i="27"/>
  <c r="D314" i="27"/>
  <c r="D313" i="27" s="1"/>
  <c r="D312" i="27" s="1"/>
  <c r="C314" i="27"/>
  <c r="G310" i="27"/>
  <c r="E310" i="27"/>
  <c r="D309" i="27"/>
  <c r="C309" i="27"/>
  <c r="G308" i="27"/>
  <c r="E308" i="27"/>
  <c r="D307" i="27"/>
  <c r="C307" i="27"/>
  <c r="G305" i="27"/>
  <c r="E305" i="27"/>
  <c r="G304" i="27"/>
  <c r="E304" i="27"/>
  <c r="D303" i="27"/>
  <c r="C303" i="27"/>
  <c r="G300" i="27"/>
  <c r="G299" i="27"/>
  <c r="G298" i="27"/>
  <c r="G297" i="27"/>
  <c r="D296" i="27"/>
  <c r="C296" i="27"/>
  <c r="G295" i="27"/>
  <c r="E295" i="27"/>
  <c r="D294" i="27"/>
  <c r="D293" i="27" s="1"/>
  <c r="C294" i="27"/>
  <c r="C293" i="27" s="1"/>
  <c r="G292" i="27"/>
  <c r="E292" i="27"/>
  <c r="G291" i="27"/>
  <c r="E291" i="27"/>
  <c r="G290" i="27"/>
  <c r="E290" i="27"/>
  <c r="G289" i="27"/>
  <c r="E289" i="27"/>
  <c r="G288" i="27"/>
  <c r="E288" i="27"/>
  <c r="G287" i="27"/>
  <c r="E287" i="27"/>
  <c r="G286" i="27"/>
  <c r="E286" i="27"/>
  <c r="G285" i="27"/>
  <c r="G283" i="27"/>
  <c r="E283" i="27"/>
  <c r="D282" i="27"/>
  <c r="C282" i="27"/>
  <c r="G281" i="27"/>
  <c r="E281" i="27"/>
  <c r="G280" i="27"/>
  <c r="G279" i="27"/>
  <c r="E279" i="27"/>
  <c r="G276" i="27"/>
  <c r="E276" i="27"/>
  <c r="G275" i="27"/>
  <c r="E275" i="27"/>
  <c r="G274" i="27"/>
  <c r="E274" i="27"/>
  <c r="D273" i="27"/>
  <c r="C273" i="27"/>
  <c r="C272" i="27" s="1"/>
  <c r="G271" i="27"/>
  <c r="E271" i="27"/>
  <c r="G270" i="27"/>
  <c r="E270" i="27"/>
  <c r="D269" i="27"/>
  <c r="C269" i="27"/>
  <c r="G267" i="27"/>
  <c r="E267" i="27"/>
  <c r="G260" i="27"/>
  <c r="E260" i="27"/>
  <c r="G259" i="27"/>
  <c r="E259" i="27"/>
  <c r="G258" i="27"/>
  <c r="E258" i="27"/>
  <c r="G257" i="27"/>
  <c r="E257" i="27"/>
  <c r="D255" i="27"/>
  <c r="G256" i="27"/>
  <c r="G250" i="27"/>
  <c r="G248" i="27"/>
  <c r="G245" i="27"/>
  <c r="G244" i="27"/>
  <c r="G240" i="27"/>
  <c r="G239" i="27"/>
  <c r="G238" i="27"/>
  <c r="G236" i="27"/>
  <c r="G233" i="27"/>
  <c r="G232" i="27"/>
  <c r="G228" i="27"/>
  <c r="E228" i="27"/>
  <c r="G227" i="27"/>
  <c r="E227" i="27"/>
  <c r="G225" i="27"/>
  <c r="G224" i="27" s="1"/>
  <c r="E225" i="27"/>
  <c r="D224" i="27"/>
  <c r="C224" i="27"/>
  <c r="G223" i="27"/>
  <c r="E223" i="27"/>
  <c r="G222" i="27"/>
  <c r="E222" i="27"/>
  <c r="D221" i="27"/>
  <c r="C221" i="27"/>
  <c r="G220" i="27"/>
  <c r="E220" i="27"/>
  <c r="D219" i="27"/>
  <c r="C219" i="27"/>
  <c r="G217" i="27"/>
  <c r="E217" i="27"/>
  <c r="G216" i="27"/>
  <c r="E216" i="27"/>
  <c r="G215" i="27"/>
  <c r="G214" i="27"/>
  <c r="E214" i="27"/>
  <c r="G213" i="27"/>
  <c r="G212" i="27"/>
  <c r="G211" i="27"/>
  <c r="G210" i="27"/>
  <c r="G209" i="27"/>
  <c r="E209" i="27"/>
  <c r="G208" i="27"/>
  <c r="E208" i="27"/>
  <c r="G207" i="27"/>
  <c r="G206" i="27"/>
  <c r="E206" i="27"/>
  <c r="G205" i="27"/>
  <c r="C204" i="27"/>
  <c r="G202" i="27"/>
  <c r="E202" i="27"/>
  <c r="G201" i="27"/>
  <c r="E201" i="27"/>
  <c r="G200" i="27"/>
  <c r="E200" i="27"/>
  <c r="G199" i="27"/>
  <c r="E199" i="27"/>
  <c r="G197" i="27"/>
  <c r="E197" i="27"/>
  <c r="C196" i="27"/>
  <c r="G194" i="27"/>
  <c r="E194" i="27"/>
  <c r="G193" i="27"/>
  <c r="E193" i="27"/>
  <c r="G192" i="27"/>
  <c r="E192" i="27"/>
  <c r="D191" i="27"/>
  <c r="D185" i="27" s="1"/>
  <c r="G190" i="27"/>
  <c r="E190" i="27"/>
  <c r="G189" i="27"/>
  <c r="E189" i="27"/>
  <c r="G188" i="27"/>
  <c r="E188" i="27"/>
  <c r="C187" i="27"/>
  <c r="G186" i="27"/>
  <c r="E186" i="27"/>
  <c r="G183" i="27"/>
  <c r="E183" i="27"/>
  <c r="G182" i="27"/>
  <c r="G181" i="27"/>
  <c r="E181" i="27"/>
  <c r="G180" i="27"/>
  <c r="E180" i="27"/>
  <c r="D179" i="27"/>
  <c r="C179" i="27"/>
  <c r="C178" i="27" s="1"/>
  <c r="G177" i="27"/>
  <c r="E177" i="27"/>
  <c r="G176" i="27"/>
  <c r="E176" i="27"/>
  <c r="G175" i="27"/>
  <c r="E175" i="27"/>
  <c r="G174" i="27"/>
  <c r="E174" i="27"/>
  <c r="G173" i="27"/>
  <c r="E173" i="27"/>
  <c r="G172" i="27"/>
  <c r="E172" i="27"/>
  <c r="G171" i="27"/>
  <c r="E171" i="27"/>
  <c r="G170" i="27"/>
  <c r="E170" i="27"/>
  <c r="G169" i="27"/>
  <c r="E169" i="27"/>
  <c r="C168" i="27"/>
  <c r="G167" i="27"/>
  <c r="E167" i="27"/>
  <c r="G166" i="27"/>
  <c r="E166" i="27"/>
  <c r="G165" i="27"/>
  <c r="E165" i="27"/>
  <c r="D163" i="27"/>
  <c r="C163" i="27"/>
  <c r="C162" i="27" s="1"/>
  <c r="G161" i="27"/>
  <c r="G160" i="27"/>
  <c r="E160" i="27"/>
  <c r="G159" i="27"/>
  <c r="G158" i="27"/>
  <c r="G157" i="27"/>
  <c r="E157" i="27"/>
  <c r="G156" i="27"/>
  <c r="E156" i="27"/>
  <c r="G155" i="27"/>
  <c r="E155" i="27"/>
  <c r="G154" i="27"/>
  <c r="E154" i="27"/>
  <c r="G153" i="27"/>
  <c r="E153" i="27"/>
  <c r="G152" i="27"/>
  <c r="E152" i="27"/>
  <c r="G151" i="27"/>
  <c r="D150" i="27"/>
  <c r="C150" i="27"/>
  <c r="G147" i="27"/>
  <c r="E147" i="27"/>
  <c r="G146" i="27"/>
  <c r="E146" i="27"/>
  <c r="G145" i="27"/>
  <c r="E145" i="27"/>
  <c r="D144" i="27"/>
  <c r="C144" i="27"/>
  <c r="G143" i="27"/>
  <c r="E143" i="27"/>
  <c r="G142" i="27"/>
  <c r="E142" i="27"/>
  <c r="G141" i="27"/>
  <c r="E141" i="27"/>
  <c r="G140" i="27"/>
  <c r="E140" i="27"/>
  <c r="G139" i="27"/>
  <c r="E139" i="27"/>
  <c r="D138" i="27"/>
  <c r="C138" i="27"/>
  <c r="E100" i="27"/>
  <c r="G98" i="27"/>
  <c r="E98" i="27"/>
  <c r="G97" i="27"/>
  <c r="E97" i="27"/>
  <c r="G96" i="27"/>
  <c r="G92" i="27"/>
  <c r="E92" i="27"/>
  <c r="G91" i="27"/>
  <c r="E91" i="27"/>
  <c r="D90" i="27"/>
  <c r="E88" i="27"/>
  <c r="D87" i="27"/>
  <c r="G85" i="27"/>
  <c r="E85" i="27"/>
  <c r="G83" i="27"/>
  <c r="E83" i="27"/>
  <c r="G82" i="27"/>
  <c r="E82" i="27"/>
  <c r="G81" i="27"/>
  <c r="E81" i="27"/>
  <c r="G79" i="27"/>
  <c r="E79" i="27"/>
  <c r="G78" i="27"/>
  <c r="E78" i="27"/>
  <c r="G77" i="27"/>
  <c r="E77" i="27"/>
  <c r="G76" i="27"/>
  <c r="E76" i="27"/>
  <c r="G75" i="27"/>
  <c r="G74" i="27"/>
  <c r="E74" i="27"/>
  <c r="G73" i="27"/>
  <c r="G72" i="27"/>
  <c r="E72" i="27"/>
  <c r="G70" i="27"/>
  <c r="G69" i="27"/>
  <c r="G68" i="27"/>
  <c r="G67" i="27"/>
  <c r="G66" i="27"/>
  <c r="E66" i="27"/>
  <c r="G65" i="27"/>
  <c r="E65" i="27"/>
  <c r="G63" i="27"/>
  <c r="G62" i="27"/>
  <c r="G61" i="27"/>
  <c r="G60" i="27"/>
  <c r="G57" i="27"/>
  <c r="G56" i="27"/>
  <c r="G55" i="27"/>
  <c r="G54" i="27"/>
  <c r="G53" i="27"/>
  <c r="E53" i="27"/>
  <c r="G52" i="27"/>
  <c r="E52" i="27"/>
  <c r="G50" i="27"/>
  <c r="E50" i="27"/>
  <c r="D49" i="27"/>
  <c r="D46" i="27" s="1"/>
  <c r="C49" i="27"/>
  <c r="C46" i="27" s="1"/>
  <c r="G48" i="27"/>
  <c r="E48" i="27"/>
  <c r="G47" i="27"/>
  <c r="E47" i="27"/>
  <c r="G45" i="27"/>
  <c r="E45" i="27"/>
  <c r="G44" i="27"/>
  <c r="E44" i="27"/>
  <c r="D43" i="27"/>
  <c r="C43" i="27"/>
  <c r="G42" i="27"/>
  <c r="E42" i="27"/>
  <c r="G41" i="27"/>
  <c r="E41" i="27"/>
  <c r="D40" i="27"/>
  <c r="C40" i="27"/>
  <c r="G38" i="27"/>
  <c r="E38" i="27"/>
  <c r="G37" i="27"/>
  <c r="E37" i="27"/>
  <c r="C35" i="27"/>
  <c r="G34" i="27"/>
  <c r="E34" i="27"/>
  <c r="G33" i="27"/>
  <c r="G32" i="27"/>
  <c r="C31" i="27"/>
  <c r="E31" i="27" s="1"/>
  <c r="G29" i="27"/>
  <c r="E29" i="27"/>
  <c r="G27" i="27"/>
  <c r="E27" i="27"/>
  <c r="C25" i="27"/>
  <c r="G25" i="27" s="1"/>
  <c r="G24" i="27"/>
  <c r="E24" i="27"/>
  <c r="G23" i="27"/>
  <c r="E23" i="27"/>
  <c r="D22" i="27"/>
  <c r="C22" i="27"/>
  <c r="G21" i="27"/>
  <c r="E21" i="27"/>
  <c r="G20" i="27"/>
  <c r="E20" i="27"/>
  <c r="D19" i="27"/>
  <c r="C19" i="27"/>
  <c r="G18" i="27"/>
  <c r="G17" i="27"/>
  <c r="E17" i="27"/>
  <c r="D16" i="27"/>
  <c r="C16" i="27"/>
  <c r="G14" i="27"/>
  <c r="E14" i="27"/>
  <c r="G13" i="27"/>
  <c r="E13" i="27"/>
  <c r="G12" i="27"/>
  <c r="E12" i="27"/>
  <c r="D11" i="27"/>
  <c r="C11" i="27"/>
  <c r="G10" i="27"/>
  <c r="E10" i="27"/>
  <c r="G9" i="27"/>
  <c r="E9" i="27"/>
  <c r="G8" i="27"/>
  <c r="E8" i="27"/>
  <c r="G7" i="27"/>
  <c r="E7" i="27"/>
  <c r="D6" i="27"/>
  <c r="C6" i="27"/>
  <c r="O406" i="26"/>
  <c r="I406" i="26"/>
  <c r="C406" i="26"/>
  <c r="O405" i="26"/>
  <c r="I405" i="26"/>
  <c r="F405" i="26"/>
  <c r="C405" i="26" s="1"/>
  <c r="O404" i="26"/>
  <c r="I404" i="26"/>
  <c r="C404" i="26"/>
  <c r="O402" i="26"/>
  <c r="I402" i="26"/>
  <c r="C402" i="26"/>
  <c r="O401" i="26"/>
  <c r="I401" i="26"/>
  <c r="C401" i="26"/>
  <c r="O400" i="26"/>
  <c r="I400" i="26"/>
  <c r="F400" i="26"/>
  <c r="C400" i="26" s="1"/>
  <c r="O399" i="26"/>
  <c r="I399" i="26"/>
  <c r="O398" i="26"/>
  <c r="I398" i="26"/>
  <c r="H398" i="26"/>
  <c r="H397" i="26" s="1"/>
  <c r="O396" i="26"/>
  <c r="I396" i="26"/>
  <c r="C396" i="26"/>
  <c r="O395" i="26"/>
  <c r="I395" i="26"/>
  <c r="C395" i="26"/>
  <c r="R394" i="26"/>
  <c r="L394" i="26"/>
  <c r="I394" i="26" s="1"/>
  <c r="F394" i="26"/>
  <c r="C394" i="26" s="1"/>
  <c r="O393" i="26"/>
  <c r="I393" i="26"/>
  <c r="C393" i="26"/>
  <c r="O391" i="26"/>
  <c r="C391" i="26"/>
  <c r="O390" i="26"/>
  <c r="I390" i="26"/>
  <c r="C390" i="26"/>
  <c r="R389" i="26"/>
  <c r="O389" i="26" s="1"/>
  <c r="F389" i="26"/>
  <c r="C389" i="26" s="1"/>
  <c r="O388" i="26"/>
  <c r="I388" i="26"/>
  <c r="C388" i="26"/>
  <c r="O387" i="26"/>
  <c r="I387" i="26"/>
  <c r="C387" i="26"/>
  <c r="O386" i="26"/>
  <c r="I386" i="26"/>
  <c r="H386" i="26"/>
  <c r="H385" i="26" s="1"/>
  <c r="O384" i="26"/>
  <c r="I384" i="26"/>
  <c r="C384" i="26"/>
  <c r="O383" i="26"/>
  <c r="I383" i="26"/>
  <c r="C383" i="26"/>
  <c r="O382" i="26"/>
  <c r="I382" i="26"/>
  <c r="C382" i="26"/>
  <c r="O381" i="26"/>
  <c r="I381" i="26"/>
  <c r="C381" i="26"/>
  <c r="O380" i="26"/>
  <c r="I380" i="26"/>
  <c r="C380" i="26"/>
  <c r="O379" i="26"/>
  <c r="L379" i="26"/>
  <c r="F379" i="26"/>
  <c r="C379" i="26" s="1"/>
  <c r="O378" i="26"/>
  <c r="I378" i="26"/>
  <c r="O375" i="26"/>
  <c r="I375" i="26"/>
  <c r="C375" i="26"/>
  <c r="O374" i="26"/>
  <c r="I374" i="26"/>
  <c r="C374" i="26"/>
  <c r="O373" i="26"/>
  <c r="I373" i="26"/>
  <c r="C373" i="26"/>
  <c r="T372" i="26"/>
  <c r="R372" i="26"/>
  <c r="Q372" i="26"/>
  <c r="P372" i="26"/>
  <c r="N372" i="26"/>
  <c r="K372" i="26"/>
  <c r="J372" i="26"/>
  <c r="H372" i="26"/>
  <c r="F372" i="26"/>
  <c r="E372" i="26"/>
  <c r="D372" i="26"/>
  <c r="O370" i="26"/>
  <c r="I370" i="26"/>
  <c r="C370" i="26"/>
  <c r="O369" i="26"/>
  <c r="I369" i="26"/>
  <c r="C369" i="26"/>
  <c r="O368" i="26"/>
  <c r="I368" i="26"/>
  <c r="C368" i="26"/>
  <c r="O367" i="26"/>
  <c r="I367" i="26"/>
  <c r="C367" i="26"/>
  <c r="O366" i="26"/>
  <c r="I366" i="26"/>
  <c r="C366" i="26"/>
  <c r="O365" i="26"/>
  <c r="I365" i="26"/>
  <c r="C365" i="26"/>
  <c r="T364" i="26"/>
  <c r="Q364" i="26"/>
  <c r="P364" i="26"/>
  <c r="N364" i="26"/>
  <c r="K364" i="26"/>
  <c r="J364" i="26"/>
  <c r="H364" i="26"/>
  <c r="F364" i="26"/>
  <c r="E364" i="26"/>
  <c r="D364" i="26"/>
  <c r="O363" i="26"/>
  <c r="I363" i="26"/>
  <c r="C363" i="26"/>
  <c r="O362" i="26"/>
  <c r="I362" i="26"/>
  <c r="C362" i="26"/>
  <c r="O361" i="26"/>
  <c r="I361" i="26"/>
  <c r="C361" i="26"/>
  <c r="O360" i="26"/>
  <c r="I360" i="26"/>
  <c r="C360" i="26"/>
  <c r="T359" i="26"/>
  <c r="R359" i="26"/>
  <c r="Q359" i="26"/>
  <c r="P359" i="26"/>
  <c r="N359" i="26"/>
  <c r="L359" i="26"/>
  <c r="L351" i="26" s="1"/>
  <c r="K359" i="26"/>
  <c r="J359" i="26"/>
  <c r="H359" i="26"/>
  <c r="F359" i="26"/>
  <c r="E359" i="26"/>
  <c r="D359" i="26"/>
  <c r="O358" i="26"/>
  <c r="I358" i="26"/>
  <c r="C358" i="26"/>
  <c r="O357" i="26"/>
  <c r="I357" i="26"/>
  <c r="C357" i="26"/>
  <c r="O356" i="26"/>
  <c r="I356" i="26"/>
  <c r="C356" i="26"/>
  <c r="O355" i="26"/>
  <c r="I355" i="26"/>
  <c r="C355" i="26"/>
  <c r="O354" i="26"/>
  <c r="I354" i="26"/>
  <c r="C354" i="26"/>
  <c r="O353" i="26"/>
  <c r="I353" i="26"/>
  <c r="C353" i="26"/>
  <c r="T352" i="26"/>
  <c r="Q352" i="26"/>
  <c r="P352" i="26"/>
  <c r="N352" i="26"/>
  <c r="K352" i="26"/>
  <c r="J352" i="26"/>
  <c r="H352" i="26"/>
  <c r="F352" i="26"/>
  <c r="E352" i="26"/>
  <c r="D352" i="26"/>
  <c r="O349" i="26"/>
  <c r="I349" i="26"/>
  <c r="C349" i="26"/>
  <c r="T348" i="26"/>
  <c r="R348" i="26"/>
  <c r="Q348" i="26"/>
  <c r="P348" i="26"/>
  <c r="N348" i="26"/>
  <c r="L348" i="26"/>
  <c r="K348" i="26"/>
  <c r="J348" i="26"/>
  <c r="H348" i="26"/>
  <c r="F348" i="26"/>
  <c r="E348" i="26"/>
  <c r="D348" i="26"/>
  <c r="O347" i="26"/>
  <c r="I347" i="26"/>
  <c r="C347" i="26"/>
  <c r="O346" i="26"/>
  <c r="C346" i="26"/>
  <c r="T345" i="26"/>
  <c r="Q345" i="26"/>
  <c r="P345" i="26"/>
  <c r="N345" i="26"/>
  <c r="K345" i="26"/>
  <c r="J345" i="26"/>
  <c r="H345" i="26"/>
  <c r="F345" i="26"/>
  <c r="E345" i="26"/>
  <c r="D345" i="26"/>
  <c r="O343" i="26"/>
  <c r="I343" i="26"/>
  <c r="E343" i="26"/>
  <c r="C343" i="26" s="1"/>
  <c r="T342" i="26"/>
  <c r="R342" i="26"/>
  <c r="P342" i="26"/>
  <c r="N342" i="26"/>
  <c r="L342" i="26"/>
  <c r="J342" i="26"/>
  <c r="H342" i="26"/>
  <c r="F342" i="26"/>
  <c r="D342" i="26"/>
  <c r="O341" i="26"/>
  <c r="I341" i="26"/>
  <c r="C341" i="26"/>
  <c r="O340" i="26"/>
  <c r="I340" i="26"/>
  <c r="C340" i="26"/>
  <c r="O339" i="26"/>
  <c r="I339" i="26"/>
  <c r="C339" i="26"/>
  <c r="O338" i="26"/>
  <c r="I338" i="26"/>
  <c r="C338" i="26"/>
  <c r="T337" i="26"/>
  <c r="R337" i="26"/>
  <c r="Q337" i="26"/>
  <c r="P337" i="26"/>
  <c r="N337" i="26"/>
  <c r="L337" i="26"/>
  <c r="K337" i="26"/>
  <c r="J337" i="26"/>
  <c r="H337" i="26"/>
  <c r="F337" i="26"/>
  <c r="E337" i="26"/>
  <c r="D337" i="26"/>
  <c r="D336" i="26" s="1"/>
  <c r="O335" i="26"/>
  <c r="I335" i="26"/>
  <c r="C335" i="26"/>
  <c r="O334" i="26"/>
  <c r="I334" i="26"/>
  <c r="C334" i="26"/>
  <c r="O333" i="26"/>
  <c r="I333" i="26"/>
  <c r="C333" i="26"/>
  <c r="O332" i="26"/>
  <c r="I332" i="26"/>
  <c r="C332" i="26"/>
  <c r="O331" i="26"/>
  <c r="I331" i="26"/>
  <c r="C331" i="26"/>
  <c r="O330" i="26"/>
  <c r="I330" i="26"/>
  <c r="C330" i="26"/>
  <c r="O329" i="26"/>
  <c r="I329" i="26"/>
  <c r="C329" i="26"/>
  <c r="O328" i="26"/>
  <c r="I328" i="26"/>
  <c r="C328" i="26"/>
  <c r="O327" i="26"/>
  <c r="I327" i="26"/>
  <c r="C327" i="26"/>
  <c r="O326" i="26"/>
  <c r="I326" i="26"/>
  <c r="C326" i="26"/>
  <c r="O325" i="26"/>
  <c r="I325" i="26"/>
  <c r="C325" i="26"/>
  <c r="O324" i="26"/>
  <c r="I324" i="26"/>
  <c r="C324" i="26"/>
  <c r="T323" i="26"/>
  <c r="R323" i="26"/>
  <c r="Q323" i="26"/>
  <c r="P323" i="26"/>
  <c r="N323" i="26"/>
  <c r="L323" i="26"/>
  <c r="K323" i="26"/>
  <c r="J323" i="26"/>
  <c r="H323" i="26"/>
  <c r="F323" i="26"/>
  <c r="E323" i="26"/>
  <c r="D323" i="26"/>
  <c r="O322" i="26"/>
  <c r="I322" i="26"/>
  <c r="C322" i="26"/>
  <c r="O321" i="26"/>
  <c r="I321" i="26"/>
  <c r="C321" i="26"/>
  <c r="O320" i="26"/>
  <c r="I320" i="26"/>
  <c r="C320" i="26"/>
  <c r="O319" i="26"/>
  <c r="I319" i="26"/>
  <c r="C319" i="26"/>
  <c r="T318" i="26"/>
  <c r="T317" i="26" s="1"/>
  <c r="R318" i="26"/>
  <c r="Q318" i="26"/>
  <c r="P318" i="26"/>
  <c r="N318" i="26"/>
  <c r="N317" i="26" s="1"/>
  <c r="L318" i="26"/>
  <c r="K318" i="26"/>
  <c r="J318" i="26"/>
  <c r="J317" i="26" s="1"/>
  <c r="H318" i="26"/>
  <c r="H317" i="26" s="1"/>
  <c r="F318" i="26"/>
  <c r="E318" i="26"/>
  <c r="E317" i="26" s="1"/>
  <c r="D318" i="26"/>
  <c r="D317" i="26" s="1"/>
  <c r="O316" i="26"/>
  <c r="I316" i="26"/>
  <c r="C316" i="26"/>
  <c r="T315" i="26"/>
  <c r="R315" i="26"/>
  <c r="Q315" i="26"/>
  <c r="P315" i="26"/>
  <c r="N315" i="26"/>
  <c r="L315" i="26"/>
  <c r="K315" i="26"/>
  <c r="J315" i="26"/>
  <c r="H315" i="26"/>
  <c r="F315" i="26"/>
  <c r="E315" i="26"/>
  <c r="D315" i="26"/>
  <c r="O314" i="26"/>
  <c r="I314" i="26"/>
  <c r="C314" i="26"/>
  <c r="O313" i="26"/>
  <c r="I313" i="26"/>
  <c r="C313" i="26"/>
  <c r="O312" i="26"/>
  <c r="I312" i="26"/>
  <c r="C312" i="26"/>
  <c r="O311" i="26"/>
  <c r="I311" i="26"/>
  <c r="C311" i="26"/>
  <c r="O310" i="26"/>
  <c r="I310" i="26"/>
  <c r="C310" i="26"/>
  <c r="O309" i="26"/>
  <c r="I309" i="26"/>
  <c r="C309" i="26"/>
  <c r="O308" i="26"/>
  <c r="I308" i="26"/>
  <c r="C308" i="26"/>
  <c r="O307" i="26"/>
  <c r="I307" i="26"/>
  <c r="C307" i="26"/>
  <c r="O306" i="26"/>
  <c r="I306" i="26"/>
  <c r="C306" i="26"/>
  <c r="O305" i="26"/>
  <c r="I305" i="26"/>
  <c r="C305" i="26"/>
  <c r="O304" i="26"/>
  <c r="I304" i="26"/>
  <c r="C304" i="26"/>
  <c r="O303" i="26"/>
  <c r="I303" i="26"/>
  <c r="C303" i="26"/>
  <c r="O302" i="26"/>
  <c r="I302" i="26"/>
  <c r="F302" i="26"/>
  <c r="T301" i="26"/>
  <c r="Q301" i="26"/>
  <c r="P301" i="26"/>
  <c r="N301" i="26"/>
  <c r="K301" i="26"/>
  <c r="J301" i="26"/>
  <c r="H301" i="26"/>
  <c r="E301" i="26"/>
  <c r="D301" i="26"/>
  <c r="O300" i="26"/>
  <c r="I300" i="26"/>
  <c r="C300" i="26"/>
  <c r="O299" i="26"/>
  <c r="I299" i="26"/>
  <c r="C299" i="26"/>
  <c r="O298" i="26"/>
  <c r="I298" i="26"/>
  <c r="C298" i="26"/>
  <c r="O297" i="26"/>
  <c r="I297" i="26"/>
  <c r="C297" i="26"/>
  <c r="O296" i="26"/>
  <c r="I296" i="26"/>
  <c r="C296" i="26"/>
  <c r="O295" i="26"/>
  <c r="I295" i="26"/>
  <c r="C295" i="26"/>
  <c r="O294" i="26"/>
  <c r="I294" i="26"/>
  <c r="C294" i="26"/>
  <c r="T293" i="26"/>
  <c r="P293" i="26"/>
  <c r="N293" i="26"/>
  <c r="J293" i="26"/>
  <c r="H293" i="26"/>
  <c r="F293" i="26"/>
  <c r="E293" i="26"/>
  <c r="D293" i="26"/>
  <c r="O291" i="26"/>
  <c r="I291" i="26"/>
  <c r="C291" i="26"/>
  <c r="O290" i="26"/>
  <c r="I290" i="26"/>
  <c r="C290" i="26"/>
  <c r="O289" i="26"/>
  <c r="I289" i="26"/>
  <c r="C289" i="26"/>
  <c r="T288" i="26"/>
  <c r="R288" i="26"/>
  <c r="Q288" i="26"/>
  <c r="P288" i="26"/>
  <c r="N288" i="26"/>
  <c r="K288" i="26"/>
  <c r="J288" i="26"/>
  <c r="H288" i="26"/>
  <c r="F288" i="26"/>
  <c r="E288" i="26"/>
  <c r="D288" i="26"/>
  <c r="C276" i="26"/>
  <c r="T275" i="26"/>
  <c r="S275" i="26"/>
  <c r="R275" i="26"/>
  <c r="P275" i="26"/>
  <c r="N275" i="26"/>
  <c r="M275" i="26"/>
  <c r="K275" i="26"/>
  <c r="H275" i="26"/>
  <c r="G275" i="26"/>
  <c r="F275" i="26"/>
  <c r="F272" i="26" s="1"/>
  <c r="E275" i="26"/>
  <c r="D275" i="26"/>
  <c r="C274" i="26"/>
  <c r="T273" i="26"/>
  <c r="S273" i="26"/>
  <c r="R273" i="26"/>
  <c r="Q273" i="26"/>
  <c r="Q272" i="26" s="1"/>
  <c r="P273" i="26"/>
  <c r="N273" i="26"/>
  <c r="M273" i="26"/>
  <c r="L273" i="26"/>
  <c r="L272" i="26" s="1"/>
  <c r="K273" i="26"/>
  <c r="J273" i="26"/>
  <c r="H273" i="26"/>
  <c r="H272" i="26" s="1"/>
  <c r="G273" i="26"/>
  <c r="G272" i="26" s="1"/>
  <c r="E273" i="26"/>
  <c r="D273" i="26"/>
  <c r="C256" i="26"/>
  <c r="T255" i="26"/>
  <c r="S255" i="26"/>
  <c r="R255" i="26"/>
  <c r="Q255" i="26"/>
  <c r="P255" i="26"/>
  <c r="N255" i="26"/>
  <c r="M255" i="26"/>
  <c r="L255" i="26"/>
  <c r="K255" i="26"/>
  <c r="J255" i="26"/>
  <c r="H255" i="26"/>
  <c r="G255" i="26"/>
  <c r="F255" i="26"/>
  <c r="E255" i="26"/>
  <c r="D255" i="26"/>
  <c r="C254" i="26"/>
  <c r="T253" i="26"/>
  <c r="S253" i="26"/>
  <c r="Q253" i="26"/>
  <c r="P253" i="26"/>
  <c r="N253" i="26"/>
  <c r="M253" i="26"/>
  <c r="L253" i="26"/>
  <c r="K253" i="26"/>
  <c r="J253" i="26"/>
  <c r="H253" i="26"/>
  <c r="G253" i="26"/>
  <c r="F253" i="26"/>
  <c r="E253" i="26"/>
  <c r="D253" i="26"/>
  <c r="C252" i="26"/>
  <c r="C251" i="26"/>
  <c r="T250" i="26"/>
  <c r="S250" i="26"/>
  <c r="R250" i="26"/>
  <c r="Q250" i="26"/>
  <c r="P250" i="26"/>
  <c r="N250" i="26"/>
  <c r="M250" i="26"/>
  <c r="L250" i="26"/>
  <c r="K250" i="26"/>
  <c r="J250" i="26"/>
  <c r="H250" i="26"/>
  <c r="G250" i="26"/>
  <c r="F250" i="26"/>
  <c r="E250" i="26"/>
  <c r="C211" i="26"/>
  <c r="T210" i="26"/>
  <c r="S210" i="26"/>
  <c r="Q210" i="26"/>
  <c r="P210" i="26"/>
  <c r="N210" i="26"/>
  <c r="N202" i="26" s="1"/>
  <c r="M210" i="26"/>
  <c r="K210" i="26"/>
  <c r="J210" i="26"/>
  <c r="H210" i="26"/>
  <c r="G210" i="26"/>
  <c r="E210" i="26"/>
  <c r="D210" i="26"/>
  <c r="C242" i="26"/>
  <c r="C239" i="26"/>
  <c r="C238" i="26"/>
  <c r="C237" i="26"/>
  <c r="J236" i="26"/>
  <c r="I236" i="26" s="1"/>
  <c r="C236" i="26"/>
  <c r="T235" i="26"/>
  <c r="Q235" i="26"/>
  <c r="P235" i="26"/>
  <c r="N235" i="26"/>
  <c r="M235" i="26"/>
  <c r="D235" i="26"/>
  <c r="C233" i="26"/>
  <c r="T232" i="26"/>
  <c r="S232" i="26"/>
  <c r="R232" i="26"/>
  <c r="Q232" i="26"/>
  <c r="P232" i="26"/>
  <c r="L232" i="26"/>
  <c r="K232" i="26"/>
  <c r="J232" i="26"/>
  <c r="H232" i="26"/>
  <c r="F232" i="26"/>
  <c r="E232" i="26"/>
  <c r="D232" i="26"/>
  <c r="C230" i="26"/>
  <c r="T229" i="26"/>
  <c r="S229" i="26"/>
  <c r="Q229" i="26"/>
  <c r="P229" i="26"/>
  <c r="N229" i="26"/>
  <c r="M229" i="26"/>
  <c r="K229" i="26"/>
  <c r="J229" i="26"/>
  <c r="H229" i="26"/>
  <c r="G229" i="26"/>
  <c r="F229" i="26"/>
  <c r="E229" i="26"/>
  <c r="D229" i="26"/>
  <c r="C228" i="26"/>
  <c r="T227" i="26"/>
  <c r="S227" i="26"/>
  <c r="R227" i="26"/>
  <c r="Q227" i="26"/>
  <c r="P227" i="26"/>
  <c r="N227" i="26"/>
  <c r="M227" i="26"/>
  <c r="K227" i="26"/>
  <c r="J227" i="26"/>
  <c r="H227" i="26"/>
  <c r="G227" i="26"/>
  <c r="F227" i="26"/>
  <c r="E227" i="26"/>
  <c r="D227" i="26"/>
  <c r="C221" i="26"/>
  <c r="C220" i="26"/>
  <c r="T219" i="26"/>
  <c r="S219" i="26"/>
  <c r="Q219" i="26"/>
  <c r="P219" i="26"/>
  <c r="N219" i="26"/>
  <c r="M219" i="26"/>
  <c r="K219" i="26"/>
  <c r="J219" i="26"/>
  <c r="H219" i="26"/>
  <c r="G219" i="26"/>
  <c r="F219" i="26"/>
  <c r="E219" i="26"/>
  <c r="D219" i="26"/>
  <c r="C209" i="26"/>
  <c r="C207" i="26"/>
  <c r="P206" i="26"/>
  <c r="O206" i="26" s="1"/>
  <c r="N206" i="26"/>
  <c r="M206" i="26"/>
  <c r="K206" i="26"/>
  <c r="J206" i="26"/>
  <c r="H206" i="26"/>
  <c r="G206" i="26"/>
  <c r="F206" i="26"/>
  <c r="D206" i="26"/>
  <c r="C205" i="26"/>
  <c r="C204" i="26"/>
  <c r="T203" i="26"/>
  <c r="S203" i="26"/>
  <c r="R203" i="26"/>
  <c r="R202" i="26" s="1"/>
  <c r="Q203" i="26"/>
  <c r="P203" i="26"/>
  <c r="N203" i="26"/>
  <c r="M203" i="26"/>
  <c r="L203" i="26"/>
  <c r="L202" i="26" s="1"/>
  <c r="K203" i="26"/>
  <c r="J203" i="26"/>
  <c r="H203" i="26"/>
  <c r="H202" i="26" s="1"/>
  <c r="G203" i="26"/>
  <c r="G202" i="26" s="1"/>
  <c r="F203" i="26"/>
  <c r="F202" i="26" s="1"/>
  <c r="E203" i="26"/>
  <c r="O200" i="26"/>
  <c r="I200" i="26"/>
  <c r="C200" i="26"/>
  <c r="O199" i="26"/>
  <c r="C199" i="26"/>
  <c r="O198" i="26"/>
  <c r="I198" i="26"/>
  <c r="C198" i="26"/>
  <c r="O197" i="26"/>
  <c r="I197" i="26"/>
  <c r="C197" i="26"/>
  <c r="P195" i="26"/>
  <c r="E196" i="26"/>
  <c r="D196" i="26"/>
  <c r="S195" i="26"/>
  <c r="R195" i="26"/>
  <c r="M195" i="26"/>
  <c r="L195" i="26"/>
  <c r="H195" i="26"/>
  <c r="G195" i="26"/>
  <c r="F195" i="26"/>
  <c r="D195" i="26"/>
  <c r="O194" i="26"/>
  <c r="I194" i="26"/>
  <c r="C194" i="26"/>
  <c r="R193" i="26"/>
  <c r="O193" i="26" s="1"/>
  <c r="L193" i="26"/>
  <c r="I193" i="26" s="1"/>
  <c r="C193" i="26"/>
  <c r="O192" i="26"/>
  <c r="I192" i="26"/>
  <c r="C192" i="26"/>
  <c r="R191" i="26"/>
  <c r="O191" i="26" s="1"/>
  <c r="L191" i="26"/>
  <c r="I191" i="26" s="1"/>
  <c r="F191" i="26"/>
  <c r="C191" i="26" s="1"/>
  <c r="O189" i="26"/>
  <c r="I189" i="26"/>
  <c r="C189" i="26"/>
  <c r="O188" i="26"/>
  <c r="I188" i="26"/>
  <c r="C188" i="26"/>
  <c r="O187" i="26"/>
  <c r="I187" i="26"/>
  <c r="F187" i="26"/>
  <c r="C187" i="26" s="1"/>
  <c r="O186" i="26"/>
  <c r="I186" i="26"/>
  <c r="C186" i="26"/>
  <c r="O185" i="26"/>
  <c r="I185" i="26"/>
  <c r="C185" i="26"/>
  <c r="R184" i="26"/>
  <c r="O184" i="26" s="1"/>
  <c r="L184" i="26"/>
  <c r="I184" i="26" s="1"/>
  <c r="C184" i="26"/>
  <c r="O181" i="26"/>
  <c r="I181" i="26"/>
  <c r="C181" i="26"/>
  <c r="O180" i="26"/>
  <c r="I180" i="26"/>
  <c r="C180" i="26"/>
  <c r="O179" i="26"/>
  <c r="I179" i="26"/>
  <c r="C179" i="26"/>
  <c r="R178" i="26"/>
  <c r="L178" i="26"/>
  <c r="F178" i="26"/>
  <c r="C178" i="26" s="1"/>
  <c r="C177" i="26"/>
  <c r="O176" i="26"/>
  <c r="I176" i="26"/>
  <c r="C176" i="26"/>
  <c r="O174" i="26"/>
  <c r="I174" i="26"/>
  <c r="C174" i="26"/>
  <c r="O173" i="26"/>
  <c r="I173" i="26"/>
  <c r="C173" i="26"/>
  <c r="O172" i="26"/>
  <c r="I172" i="26"/>
  <c r="C172" i="26"/>
  <c r="R171" i="26"/>
  <c r="O171" i="26" s="1"/>
  <c r="L171" i="26"/>
  <c r="I171" i="26" s="1"/>
  <c r="F171" i="26"/>
  <c r="C171" i="26" s="1"/>
  <c r="O170" i="26"/>
  <c r="I170" i="26"/>
  <c r="C170" i="26"/>
  <c r="I168" i="26"/>
  <c r="O166" i="26"/>
  <c r="I166" i="26"/>
  <c r="O165" i="26"/>
  <c r="I165" i="26"/>
  <c r="O164" i="26"/>
  <c r="I164" i="26"/>
  <c r="C164" i="26"/>
  <c r="R163" i="26"/>
  <c r="O163" i="26" s="1"/>
  <c r="L163" i="26"/>
  <c r="I163" i="26" s="1"/>
  <c r="F163" i="26"/>
  <c r="C163" i="26" s="1"/>
  <c r="O162" i="26"/>
  <c r="I162" i="26"/>
  <c r="O161" i="26"/>
  <c r="I161" i="26"/>
  <c r="O160" i="26"/>
  <c r="I160" i="26"/>
  <c r="C160" i="26"/>
  <c r="O159" i="26"/>
  <c r="I159" i="26"/>
  <c r="C159" i="26"/>
  <c r="O158" i="26"/>
  <c r="I158" i="26"/>
  <c r="C158" i="26"/>
  <c r="O157" i="26"/>
  <c r="I157" i="26"/>
  <c r="C157" i="26"/>
  <c r="O155" i="26"/>
  <c r="I155" i="26"/>
  <c r="C155" i="26"/>
  <c r="O154" i="26"/>
  <c r="I154" i="26"/>
  <c r="C154" i="26"/>
  <c r="R153" i="26"/>
  <c r="O153" i="26" s="1"/>
  <c r="L153" i="26"/>
  <c r="I153" i="26" s="1"/>
  <c r="C153" i="26"/>
  <c r="O152" i="26"/>
  <c r="I152" i="26"/>
  <c r="C152" i="26"/>
  <c r="O151" i="26"/>
  <c r="I151" i="26"/>
  <c r="C151" i="26"/>
  <c r="O150" i="26"/>
  <c r="I150" i="26"/>
  <c r="C150" i="26"/>
  <c r="O149" i="26"/>
  <c r="I149" i="26"/>
  <c r="C149" i="26"/>
  <c r="O146" i="26"/>
  <c r="I146" i="26"/>
  <c r="C146" i="26"/>
  <c r="O145" i="26"/>
  <c r="I145" i="26"/>
  <c r="C145" i="26"/>
  <c r="R144" i="26"/>
  <c r="O144" i="26" s="1"/>
  <c r="L144" i="26"/>
  <c r="I144" i="26" s="1"/>
  <c r="O143" i="26"/>
  <c r="I143" i="26"/>
  <c r="C143" i="26"/>
  <c r="O142" i="26"/>
  <c r="I142" i="26"/>
  <c r="C142" i="26"/>
  <c r="O141" i="26"/>
  <c r="I141" i="26"/>
  <c r="C141" i="26"/>
  <c r="O139" i="26"/>
  <c r="L139" i="26"/>
  <c r="O135" i="26"/>
  <c r="I135" i="26"/>
  <c r="O134" i="26"/>
  <c r="I134" i="26"/>
  <c r="C134" i="26"/>
  <c r="R133" i="26"/>
  <c r="L133" i="26"/>
  <c r="F133" i="26"/>
  <c r="C133" i="26" s="1"/>
  <c r="O132" i="26"/>
  <c r="I132" i="26"/>
  <c r="C132" i="26"/>
  <c r="O131" i="26"/>
  <c r="I131" i="26"/>
  <c r="C131" i="26"/>
  <c r="O129" i="26"/>
  <c r="I129" i="26"/>
  <c r="C129" i="26"/>
  <c r="O128" i="26"/>
  <c r="C128" i="26"/>
  <c r="F127" i="26"/>
  <c r="C127" i="26" s="1"/>
  <c r="O126" i="26"/>
  <c r="I126" i="26"/>
  <c r="C126" i="26"/>
  <c r="O125" i="26"/>
  <c r="I125" i="26"/>
  <c r="C125" i="26"/>
  <c r="O124" i="26"/>
  <c r="I124" i="26"/>
  <c r="F124" i="26"/>
  <c r="C124" i="26" s="1"/>
  <c r="O123" i="26"/>
  <c r="I123" i="26"/>
  <c r="C123" i="26"/>
  <c r="O122" i="26"/>
  <c r="I122" i="26"/>
  <c r="C122" i="26"/>
  <c r="O121" i="26"/>
  <c r="I121" i="26"/>
  <c r="C121" i="26"/>
  <c r="F120" i="26"/>
  <c r="C120" i="26" s="1"/>
  <c r="O119" i="26"/>
  <c r="I119" i="26"/>
  <c r="C119" i="26"/>
  <c r="O118" i="26"/>
  <c r="I118" i="26"/>
  <c r="C118" i="26"/>
  <c r="R117" i="26"/>
  <c r="O117" i="26" s="1"/>
  <c r="L117" i="26"/>
  <c r="I117" i="26" s="1"/>
  <c r="F117" i="26"/>
  <c r="C117" i="26" s="1"/>
  <c r="O116" i="26"/>
  <c r="I116" i="26"/>
  <c r="C116" i="26"/>
  <c r="O115" i="26"/>
  <c r="I115" i="26"/>
  <c r="F115" i="26"/>
  <c r="C115" i="26" s="1"/>
  <c r="R114" i="26"/>
  <c r="O114" i="26" s="1"/>
  <c r="O112" i="26"/>
  <c r="I112" i="26"/>
  <c r="C112" i="26"/>
  <c r="O111" i="26"/>
  <c r="I111" i="26"/>
  <c r="C111" i="26"/>
  <c r="O110" i="26"/>
  <c r="I110" i="26"/>
  <c r="C110" i="26"/>
  <c r="I109" i="26"/>
  <c r="C109" i="26"/>
  <c r="R108" i="26"/>
  <c r="O108" i="26" s="1"/>
  <c r="L107" i="26"/>
  <c r="I107" i="26" s="1"/>
  <c r="U107" i="26" s="1"/>
  <c r="F108" i="26"/>
  <c r="F107" i="26" s="1"/>
  <c r="C107" i="26" s="1"/>
  <c r="O106" i="26"/>
  <c r="I106" i="26"/>
  <c r="C106" i="26"/>
  <c r="O105" i="26"/>
  <c r="I105" i="26"/>
  <c r="C105" i="26"/>
  <c r="O104" i="26"/>
  <c r="I104" i="26"/>
  <c r="C104" i="26"/>
  <c r="O103" i="26"/>
  <c r="I103" i="26"/>
  <c r="C103" i="26"/>
  <c r="O102" i="26"/>
  <c r="I102" i="26"/>
  <c r="C102" i="26"/>
  <c r="O101" i="26"/>
  <c r="I101" i="26"/>
  <c r="C101" i="26"/>
  <c r="O100" i="26"/>
  <c r="I100" i="26"/>
  <c r="C100" i="26"/>
  <c r="O99" i="26"/>
  <c r="I99" i="26"/>
  <c r="C99" i="26"/>
  <c r="O98" i="26"/>
  <c r="I98" i="26"/>
  <c r="C98" i="26"/>
  <c r="R97" i="26"/>
  <c r="O97" i="26" s="1"/>
  <c r="L97" i="26"/>
  <c r="I97" i="26" s="1"/>
  <c r="F97" i="26"/>
  <c r="C97" i="26" s="1"/>
  <c r="O96" i="26"/>
  <c r="I96" i="26"/>
  <c r="C96" i="26"/>
  <c r="O95" i="26"/>
  <c r="I95" i="26"/>
  <c r="C95" i="26"/>
  <c r="O94" i="26"/>
  <c r="I94" i="26"/>
  <c r="C94" i="26"/>
  <c r="O93" i="26"/>
  <c r="I93" i="26"/>
  <c r="C93" i="26"/>
  <c r="R92" i="26"/>
  <c r="L92" i="26"/>
  <c r="I92" i="26" s="1"/>
  <c r="F92" i="26"/>
  <c r="C92" i="26" s="1"/>
  <c r="O90" i="26"/>
  <c r="I90" i="26"/>
  <c r="C90" i="26"/>
  <c r="O89" i="26"/>
  <c r="I89" i="26"/>
  <c r="C89" i="26"/>
  <c r="R88" i="26"/>
  <c r="I88" i="26"/>
  <c r="F88" i="26"/>
  <c r="C88" i="26" s="1"/>
  <c r="O87" i="26"/>
  <c r="I87" i="26"/>
  <c r="C87" i="26"/>
  <c r="O86" i="26"/>
  <c r="I86" i="26"/>
  <c r="C86" i="26"/>
  <c r="O85" i="26"/>
  <c r="I85" i="26"/>
  <c r="C85" i="26"/>
  <c r="O84" i="26"/>
  <c r="I84" i="26"/>
  <c r="C84" i="26"/>
  <c r="O83" i="26"/>
  <c r="L83" i="26"/>
  <c r="F83" i="26"/>
  <c r="C83" i="26" s="1"/>
  <c r="O81" i="26"/>
  <c r="I81" i="26"/>
  <c r="C81" i="26"/>
  <c r="O80" i="26"/>
  <c r="L80" i="26"/>
  <c r="I80" i="26" s="1"/>
  <c r="F80" i="26"/>
  <c r="C80" i="26" s="1"/>
  <c r="O79" i="26"/>
  <c r="I79" i="26"/>
  <c r="C79" i="26"/>
  <c r="Q78" i="26"/>
  <c r="O78" i="26" s="1"/>
  <c r="K78" i="26"/>
  <c r="I78" i="26" s="1"/>
  <c r="F78" i="26"/>
  <c r="C78" i="26" s="1"/>
  <c r="C76" i="26"/>
  <c r="C75" i="26"/>
  <c r="F74" i="26"/>
  <c r="F73" i="26" s="1"/>
  <c r="C73" i="26" s="1"/>
  <c r="C72" i="26"/>
  <c r="C71" i="26"/>
  <c r="C70" i="26"/>
  <c r="F69" i="26"/>
  <c r="F68" i="26" s="1"/>
  <c r="C68" i="26" s="1"/>
  <c r="C67" i="26"/>
  <c r="O65" i="26"/>
  <c r="I65" i="26"/>
  <c r="C65" i="26"/>
  <c r="O64" i="26"/>
  <c r="I64" i="26"/>
  <c r="C64" i="26"/>
  <c r="O63" i="26"/>
  <c r="I63" i="26"/>
  <c r="C63" i="26"/>
  <c r="R62" i="26"/>
  <c r="O62" i="26" s="1"/>
  <c r="L62" i="26"/>
  <c r="I62" i="26" s="1"/>
  <c r="F62" i="26"/>
  <c r="C62" i="26" s="1"/>
  <c r="O61" i="26"/>
  <c r="I61" i="26"/>
  <c r="C61" i="26"/>
  <c r="O60" i="26"/>
  <c r="I60" i="26"/>
  <c r="C60" i="26"/>
  <c r="O59" i="26"/>
  <c r="I59" i="26"/>
  <c r="C59" i="26"/>
  <c r="O58" i="26"/>
  <c r="I58" i="26"/>
  <c r="C58" i="26"/>
  <c r="S57" i="26"/>
  <c r="S56" i="26" s="1"/>
  <c r="R57" i="26"/>
  <c r="M57" i="26"/>
  <c r="M56" i="26" s="1"/>
  <c r="L57" i="26"/>
  <c r="G57" i="26"/>
  <c r="G56" i="26" s="1"/>
  <c r="F57" i="26"/>
  <c r="O54" i="26"/>
  <c r="I54" i="26"/>
  <c r="C54" i="26"/>
  <c r="O53" i="26"/>
  <c r="I53" i="26"/>
  <c r="C53" i="26"/>
  <c r="O52" i="26"/>
  <c r="I52" i="26"/>
  <c r="C52" i="26"/>
  <c r="O51" i="26"/>
  <c r="F51" i="26"/>
  <c r="C51" i="26" s="1"/>
  <c r="O50" i="26"/>
  <c r="I50" i="26"/>
  <c r="C50" i="26"/>
  <c r="O49" i="26"/>
  <c r="I49" i="26"/>
  <c r="C49" i="26"/>
  <c r="R48" i="26"/>
  <c r="O48" i="26" s="1"/>
  <c r="L48" i="26"/>
  <c r="I48" i="26" s="1"/>
  <c r="F48" i="26"/>
  <c r="C48" i="26" s="1"/>
  <c r="O47" i="26"/>
  <c r="I47" i="26"/>
  <c r="C47" i="26"/>
  <c r="O46" i="26"/>
  <c r="I46" i="26"/>
  <c r="C46" i="26"/>
  <c r="O45" i="26"/>
  <c r="I45" i="26"/>
  <c r="C45" i="26"/>
  <c r="R44" i="26"/>
  <c r="O44" i="26" s="1"/>
  <c r="L44" i="26"/>
  <c r="I44" i="26" s="1"/>
  <c r="F44" i="26"/>
  <c r="O43" i="26"/>
  <c r="I43" i="26"/>
  <c r="C43" i="26"/>
  <c r="O42" i="26"/>
  <c r="I42" i="26"/>
  <c r="C42" i="26"/>
  <c r="R40" i="26"/>
  <c r="O40" i="26" s="1"/>
  <c r="L40" i="26"/>
  <c r="I40" i="26" s="1"/>
  <c r="C40" i="26"/>
  <c r="O38" i="26"/>
  <c r="I38" i="26"/>
  <c r="C38" i="26"/>
  <c r="O37" i="26"/>
  <c r="I37" i="26"/>
  <c r="C37" i="26"/>
  <c r="O36" i="26"/>
  <c r="I36" i="26"/>
  <c r="C36" i="26"/>
  <c r="T35" i="26"/>
  <c r="S35" i="26"/>
  <c r="R35" i="26"/>
  <c r="Q35" i="26"/>
  <c r="P35" i="26"/>
  <c r="N35" i="26"/>
  <c r="M35" i="26"/>
  <c r="L35" i="26"/>
  <c r="K35" i="26"/>
  <c r="J35" i="26"/>
  <c r="H35" i="26"/>
  <c r="G35" i="26"/>
  <c r="F35" i="26"/>
  <c r="E35" i="26"/>
  <c r="D35" i="26"/>
  <c r="O34" i="26"/>
  <c r="I34" i="26"/>
  <c r="C34" i="26"/>
  <c r="O33" i="26"/>
  <c r="I33" i="26"/>
  <c r="C33" i="26"/>
  <c r="O32" i="26"/>
  <c r="N32" i="26"/>
  <c r="I32" i="26" s="1"/>
  <c r="H32" i="26"/>
  <c r="C32" i="26" s="1"/>
  <c r="O31" i="26"/>
  <c r="I31" i="26"/>
  <c r="C31" i="26"/>
  <c r="O30" i="26"/>
  <c r="N30" i="26"/>
  <c r="M30" i="26"/>
  <c r="L30" i="26"/>
  <c r="H30" i="26"/>
  <c r="G30" i="26"/>
  <c r="F30" i="26"/>
  <c r="E30" i="26"/>
  <c r="D30" i="26"/>
  <c r="O29" i="26"/>
  <c r="I29" i="26"/>
  <c r="C29" i="26"/>
  <c r="O28" i="26"/>
  <c r="I28" i="26"/>
  <c r="C28" i="26"/>
  <c r="T27" i="26"/>
  <c r="O27" i="26" s="1"/>
  <c r="N27" i="26"/>
  <c r="M27" i="26"/>
  <c r="L27" i="26"/>
  <c r="H27" i="26"/>
  <c r="G27" i="26"/>
  <c r="F27" i="26"/>
  <c r="E27" i="26"/>
  <c r="D27" i="26"/>
  <c r="O26" i="26"/>
  <c r="I26" i="26"/>
  <c r="C26" i="26"/>
  <c r="T25" i="26"/>
  <c r="S25" i="26"/>
  <c r="S24" i="26" s="1"/>
  <c r="R25" i="26"/>
  <c r="R24" i="26" s="1"/>
  <c r="N25" i="26"/>
  <c r="M25" i="26"/>
  <c r="L25" i="26"/>
  <c r="H25" i="26"/>
  <c r="G25" i="26"/>
  <c r="F25" i="26"/>
  <c r="E25" i="26"/>
  <c r="D25" i="26"/>
  <c r="Q24" i="26"/>
  <c r="P24" i="26"/>
  <c r="K24" i="26"/>
  <c r="J24" i="26"/>
  <c r="O23" i="26"/>
  <c r="I23" i="26"/>
  <c r="C23" i="26"/>
  <c r="O22" i="26"/>
  <c r="I22" i="26"/>
  <c r="C22" i="26"/>
  <c r="O21" i="26"/>
  <c r="I21" i="26"/>
  <c r="C21" i="26"/>
  <c r="S20" i="26"/>
  <c r="R20" i="26"/>
  <c r="P20" i="26"/>
  <c r="N20" i="26"/>
  <c r="M20" i="26"/>
  <c r="L20" i="26"/>
  <c r="J20" i="26"/>
  <c r="H20" i="26"/>
  <c r="G20" i="26"/>
  <c r="F20" i="26"/>
  <c r="E20" i="26"/>
  <c r="D20" i="26"/>
  <c r="O19" i="26"/>
  <c r="I19" i="26"/>
  <c r="C19" i="26"/>
  <c r="O18" i="26"/>
  <c r="I18" i="26"/>
  <c r="F18" i="26"/>
  <c r="O17" i="26"/>
  <c r="I17" i="26"/>
  <c r="C17" i="26"/>
  <c r="O16" i="26"/>
  <c r="I16" i="26"/>
  <c r="C16" i="26"/>
  <c r="O15" i="26"/>
  <c r="I15" i="26"/>
  <c r="C15" i="26"/>
  <c r="O14" i="26"/>
  <c r="I14" i="26"/>
  <c r="H14" i="26"/>
  <c r="H6" i="26" s="1"/>
  <c r="G14" i="26"/>
  <c r="E14" i="26"/>
  <c r="D14" i="26"/>
  <c r="O12" i="26"/>
  <c r="I12" i="26"/>
  <c r="C12" i="26"/>
  <c r="O11" i="26"/>
  <c r="I11" i="26"/>
  <c r="C11" i="26"/>
  <c r="Q10" i="26"/>
  <c r="O10" i="26" s="1"/>
  <c r="K10" i="26"/>
  <c r="I10" i="26" s="1"/>
  <c r="G10" i="26"/>
  <c r="E10" i="26"/>
  <c r="D10" i="26"/>
  <c r="O9" i="26"/>
  <c r="I9" i="26"/>
  <c r="C9" i="26"/>
  <c r="O8" i="26"/>
  <c r="I8" i="26"/>
  <c r="R7" i="26"/>
  <c r="O7" i="26" s="1"/>
  <c r="L7" i="26"/>
  <c r="G7" i="26"/>
  <c r="F7" i="26"/>
  <c r="T6" i="26"/>
  <c r="S6" i="26"/>
  <c r="N6" i="26"/>
  <c r="M6" i="26"/>
  <c r="J6" i="26"/>
  <c r="I133" i="26" l="1"/>
  <c r="E225" i="26"/>
  <c r="G225" i="26"/>
  <c r="G201" i="26" s="1"/>
  <c r="E249" i="26"/>
  <c r="G249" i="26"/>
  <c r="E272" i="26"/>
  <c r="E202" i="26"/>
  <c r="F225" i="26"/>
  <c r="H225" i="26"/>
  <c r="F249" i="26"/>
  <c r="F201" i="26" s="1"/>
  <c r="H249" i="26"/>
  <c r="T202" i="26"/>
  <c r="H344" i="26"/>
  <c r="K225" i="26"/>
  <c r="S272" i="26"/>
  <c r="I275" i="26"/>
  <c r="L385" i="26"/>
  <c r="I385" i="26" s="1"/>
  <c r="F397" i="26"/>
  <c r="C397" i="26" s="1"/>
  <c r="D15" i="27"/>
  <c r="D39" i="27"/>
  <c r="K272" i="26"/>
  <c r="C15" i="27"/>
  <c r="R272" i="26"/>
  <c r="G196" i="27"/>
  <c r="C195" i="27"/>
  <c r="R385" i="26"/>
  <c r="O385" i="26" s="1"/>
  <c r="C7" i="26"/>
  <c r="O203" i="26"/>
  <c r="I206" i="26"/>
  <c r="O219" i="26"/>
  <c r="O227" i="26"/>
  <c r="I232" i="26"/>
  <c r="O235" i="26"/>
  <c r="O250" i="26"/>
  <c r="I253" i="26"/>
  <c r="O255" i="26"/>
  <c r="N272" i="26"/>
  <c r="O275" i="26"/>
  <c r="I379" i="26"/>
  <c r="L377" i="26"/>
  <c r="O229" i="26"/>
  <c r="O232" i="26"/>
  <c r="I210" i="26"/>
  <c r="O210" i="26"/>
  <c r="O253" i="26"/>
  <c r="I255" i="26"/>
  <c r="O273" i="26"/>
  <c r="I203" i="26"/>
  <c r="I219" i="26"/>
  <c r="I227" i="26"/>
  <c r="I229" i="26"/>
  <c r="I250" i="26"/>
  <c r="M272" i="26"/>
  <c r="T272" i="26"/>
  <c r="I273" i="26"/>
  <c r="O178" i="26"/>
  <c r="R177" i="26"/>
  <c r="O88" i="26"/>
  <c r="R82" i="26"/>
  <c r="O82" i="26" s="1"/>
  <c r="I178" i="26"/>
  <c r="L177" i="26"/>
  <c r="G329" i="27"/>
  <c r="E101" i="27"/>
  <c r="E95" i="27"/>
  <c r="E96" i="27"/>
  <c r="G100" i="27"/>
  <c r="D99" i="27"/>
  <c r="G101" i="27"/>
  <c r="G323" i="27"/>
  <c r="E90" i="27"/>
  <c r="D162" i="27"/>
  <c r="F162" i="27" s="1"/>
  <c r="E273" i="27"/>
  <c r="G221" i="27"/>
  <c r="D272" i="26"/>
  <c r="F6" i="26"/>
  <c r="I7" i="26"/>
  <c r="I6" i="26" s="1"/>
  <c r="U6" i="26" s="1"/>
  <c r="L6" i="26"/>
  <c r="P272" i="26"/>
  <c r="J272" i="26"/>
  <c r="D249" i="26"/>
  <c r="C210" i="26"/>
  <c r="L127" i="26"/>
  <c r="I127" i="26" s="1"/>
  <c r="L301" i="26"/>
  <c r="I301" i="26" s="1"/>
  <c r="F351" i="26"/>
  <c r="F350" i="26" s="1"/>
  <c r="L225" i="26"/>
  <c r="Q225" i="26"/>
  <c r="R225" i="26"/>
  <c r="E344" i="26"/>
  <c r="C44" i="26"/>
  <c r="F39" i="26"/>
  <c r="C39" i="26" s="1"/>
  <c r="F130" i="26"/>
  <c r="L350" i="26"/>
  <c r="C69" i="26"/>
  <c r="M202" i="26"/>
  <c r="O57" i="26"/>
  <c r="L317" i="26"/>
  <c r="C10" i="26"/>
  <c r="R138" i="26"/>
  <c r="O136" i="26" s="1"/>
  <c r="N351" i="26"/>
  <c r="N350" i="26" s="1"/>
  <c r="E6" i="26"/>
  <c r="C18" i="26"/>
  <c r="C14" i="26"/>
  <c r="D6" i="26"/>
  <c r="T351" i="26"/>
  <c r="T350" i="26" s="1"/>
  <c r="J235" i="26"/>
  <c r="I235" i="26" s="1"/>
  <c r="C144" i="26"/>
  <c r="O394" i="26"/>
  <c r="I389" i="26"/>
  <c r="D195" i="27"/>
  <c r="E19" i="27"/>
  <c r="G43" i="27"/>
  <c r="E40" i="27"/>
  <c r="E179" i="27"/>
  <c r="E204" i="27"/>
  <c r="G234" i="27"/>
  <c r="G243" i="27"/>
  <c r="Q342" i="26"/>
  <c r="Q336" i="26" s="1"/>
  <c r="E71" i="27"/>
  <c r="G179" i="27"/>
  <c r="G204" i="27"/>
  <c r="E328" i="27"/>
  <c r="P336" i="26"/>
  <c r="G6" i="27"/>
  <c r="G19" i="27"/>
  <c r="E221" i="27"/>
  <c r="G284" i="27"/>
  <c r="E303" i="27"/>
  <c r="G367" i="27"/>
  <c r="G376" i="27"/>
  <c r="E329" i="27"/>
  <c r="L82" i="26"/>
  <c r="I82" i="26" s="1"/>
  <c r="U82" i="26" s="1"/>
  <c r="Q195" i="26"/>
  <c r="K202" i="26"/>
  <c r="G88" i="27"/>
  <c r="G226" i="27"/>
  <c r="Q344" i="26"/>
  <c r="G95" i="27"/>
  <c r="C99" i="27"/>
  <c r="E278" i="27"/>
  <c r="G282" i="27"/>
  <c r="G339" i="27"/>
  <c r="G371" i="27"/>
  <c r="M24" i="26"/>
  <c r="F336" i="26"/>
  <c r="Y107" i="26"/>
  <c r="Z107" i="26" s="1"/>
  <c r="J351" i="26"/>
  <c r="J350" i="26" s="1"/>
  <c r="K351" i="26"/>
  <c r="K350" i="26" s="1"/>
  <c r="P225" i="26"/>
  <c r="D351" i="26"/>
  <c r="D350" i="26" s="1"/>
  <c r="P351" i="26"/>
  <c r="P350" i="26" s="1"/>
  <c r="Q317" i="26"/>
  <c r="L169" i="26"/>
  <c r="I169" i="26" s="1"/>
  <c r="U169" i="26" s="1"/>
  <c r="E36" i="27"/>
  <c r="G49" i="27"/>
  <c r="G80" i="27"/>
  <c r="D178" i="27"/>
  <c r="F178" i="27" s="1"/>
  <c r="E226" i="27"/>
  <c r="G249" i="27"/>
  <c r="E49" i="27"/>
  <c r="E309" i="27"/>
  <c r="E314" i="27"/>
  <c r="E22" i="27"/>
  <c r="G231" i="27"/>
  <c r="E224" i="27"/>
  <c r="G296" i="27"/>
  <c r="C306" i="27"/>
  <c r="G347" i="27"/>
  <c r="G294" i="27"/>
  <c r="D51" i="27"/>
  <c r="D306" i="27"/>
  <c r="G71" i="27"/>
  <c r="G144" i="27"/>
  <c r="G150" i="27"/>
  <c r="G168" i="27"/>
  <c r="G187" i="27"/>
  <c r="G191" i="27"/>
  <c r="G266" i="27"/>
  <c r="E284" i="27"/>
  <c r="E307" i="27"/>
  <c r="G360" i="27"/>
  <c r="G381" i="27"/>
  <c r="D272" i="27"/>
  <c r="E272" i="27" s="1"/>
  <c r="E11" i="27"/>
  <c r="G90" i="27"/>
  <c r="E168" i="27"/>
  <c r="C255" i="27"/>
  <c r="G255" i="27" s="1"/>
  <c r="E294" i="27"/>
  <c r="E144" i="27"/>
  <c r="G342" i="27"/>
  <c r="E150" i="27"/>
  <c r="C277" i="27"/>
  <c r="E25" i="27"/>
  <c r="D35" i="27"/>
  <c r="G35" i="27" s="1"/>
  <c r="E80" i="27"/>
  <c r="G237" i="27"/>
  <c r="E256" i="27"/>
  <c r="G273" i="27"/>
  <c r="G307" i="27"/>
  <c r="G36" i="27"/>
  <c r="E64" i="27"/>
  <c r="E191" i="27"/>
  <c r="E347" i="27"/>
  <c r="G361" i="27"/>
  <c r="G365" i="27"/>
  <c r="E266" i="27"/>
  <c r="G278" i="27"/>
  <c r="G309" i="27"/>
  <c r="E6" i="27"/>
  <c r="G64" i="27"/>
  <c r="D277" i="27"/>
  <c r="O25" i="26"/>
  <c r="O24" i="26" s="1"/>
  <c r="Q77" i="26"/>
  <c r="F317" i="26"/>
  <c r="C317" i="26" s="1"/>
  <c r="E292" i="26"/>
  <c r="H24" i="26"/>
  <c r="Q202" i="26"/>
  <c r="H336" i="26"/>
  <c r="G24" i="26"/>
  <c r="N225" i="26"/>
  <c r="S249" i="26"/>
  <c r="C359" i="26"/>
  <c r="S202" i="26"/>
  <c r="E351" i="26"/>
  <c r="E350" i="26" s="1"/>
  <c r="C288" i="26"/>
  <c r="C206" i="26"/>
  <c r="M249" i="26"/>
  <c r="N249" i="26"/>
  <c r="O323" i="26"/>
  <c r="N336" i="26"/>
  <c r="E163" i="27"/>
  <c r="C20" i="26"/>
  <c r="R127" i="26"/>
  <c r="O127" i="26" s="1"/>
  <c r="L138" i="26"/>
  <c r="L130" i="26" s="1"/>
  <c r="I130" i="26" s="1"/>
  <c r="K293" i="26"/>
  <c r="K292" i="26" s="1"/>
  <c r="E342" i="26"/>
  <c r="C342" i="26" s="1"/>
  <c r="H376" i="26"/>
  <c r="G6" i="26"/>
  <c r="Q20" i="26"/>
  <c r="O20" i="26" s="1"/>
  <c r="I25" i="26"/>
  <c r="L77" i="26"/>
  <c r="L120" i="26"/>
  <c r="I120" i="26" s="1"/>
  <c r="T195" i="26"/>
  <c r="C255" i="26"/>
  <c r="L293" i="26"/>
  <c r="Q249" i="26"/>
  <c r="C27" i="26"/>
  <c r="C57" i="26"/>
  <c r="F114" i="26"/>
  <c r="C114" i="26" s="1"/>
  <c r="C196" i="26"/>
  <c r="C195" i="26" s="1"/>
  <c r="S225" i="26"/>
  <c r="R249" i="26"/>
  <c r="L249" i="26"/>
  <c r="D292" i="26"/>
  <c r="K344" i="26"/>
  <c r="I364" i="26"/>
  <c r="F24" i="26"/>
  <c r="T225" i="26"/>
  <c r="O372" i="26"/>
  <c r="I57" i="26"/>
  <c r="C108" i="26"/>
  <c r="L114" i="26"/>
  <c r="C219" i="26"/>
  <c r="K249" i="26"/>
  <c r="T249" i="26"/>
  <c r="O288" i="26"/>
  <c r="C399" i="26"/>
  <c r="C74" i="26"/>
  <c r="R91" i="26"/>
  <c r="O91" i="26" s="1"/>
  <c r="C227" i="26"/>
  <c r="M225" i="26"/>
  <c r="C275" i="26"/>
  <c r="H292" i="26"/>
  <c r="C345" i="26"/>
  <c r="O348" i="26"/>
  <c r="E24" i="26"/>
  <c r="I35" i="26"/>
  <c r="U35" i="26" s="1"/>
  <c r="C35" i="26"/>
  <c r="R107" i="26"/>
  <c r="O107" i="26" s="1"/>
  <c r="I196" i="26"/>
  <c r="I195" i="26" s="1"/>
  <c r="U195" i="26" s="1"/>
  <c r="C253" i="26"/>
  <c r="N292" i="26"/>
  <c r="C315" i="26"/>
  <c r="O315" i="26"/>
  <c r="C323" i="26"/>
  <c r="P317" i="26"/>
  <c r="R336" i="26"/>
  <c r="T336" i="26"/>
  <c r="O359" i="26"/>
  <c r="O377" i="26"/>
  <c r="C386" i="26"/>
  <c r="L39" i="26"/>
  <c r="I39" i="26" s="1"/>
  <c r="U39" i="26" s="1"/>
  <c r="L183" i="26"/>
  <c r="J225" i="26"/>
  <c r="C232" i="26"/>
  <c r="O318" i="26"/>
  <c r="R345" i="26"/>
  <c r="R344" i="26" s="1"/>
  <c r="Q293" i="26"/>
  <c r="Q292" i="26" s="1"/>
  <c r="I318" i="26"/>
  <c r="J336" i="26"/>
  <c r="T344" i="26"/>
  <c r="C348" i="26"/>
  <c r="K6" i="26"/>
  <c r="I30" i="26"/>
  <c r="F56" i="26"/>
  <c r="C56" i="26" s="1"/>
  <c r="F82" i="26"/>
  <c r="C82" i="26" s="1"/>
  <c r="R190" i="26"/>
  <c r="O190" i="26" s="1"/>
  <c r="R293" i="26"/>
  <c r="T292" i="26"/>
  <c r="I323" i="26"/>
  <c r="J344" i="26"/>
  <c r="P344" i="26"/>
  <c r="H351" i="26"/>
  <c r="H350" i="26" s="1"/>
  <c r="R39" i="26"/>
  <c r="O39" i="26" s="1"/>
  <c r="L56" i="26"/>
  <c r="C229" i="26"/>
  <c r="J249" i="26"/>
  <c r="K317" i="26"/>
  <c r="I337" i="26"/>
  <c r="F344" i="26"/>
  <c r="I359" i="26"/>
  <c r="E195" i="26"/>
  <c r="O35" i="26"/>
  <c r="F190" i="26"/>
  <c r="C190" i="26" s="1"/>
  <c r="R301" i="26"/>
  <c r="O301" i="26" s="1"/>
  <c r="R317" i="26"/>
  <c r="C337" i="26"/>
  <c r="N344" i="26"/>
  <c r="I372" i="26"/>
  <c r="T24" i="26"/>
  <c r="N24" i="26"/>
  <c r="C30" i="26"/>
  <c r="I83" i="26"/>
  <c r="L190" i="26"/>
  <c r="I190" i="26" s="1"/>
  <c r="U190" i="26" s="1"/>
  <c r="C235" i="26"/>
  <c r="C318" i="26"/>
  <c r="O337" i="26"/>
  <c r="I348" i="26"/>
  <c r="C77" i="26"/>
  <c r="G59" i="27"/>
  <c r="G322" i="27"/>
  <c r="Q6" i="26"/>
  <c r="F77" i="26"/>
  <c r="F91" i="26"/>
  <c r="C91" i="26" s="1"/>
  <c r="P202" i="26"/>
  <c r="D225" i="26"/>
  <c r="C273" i="26"/>
  <c r="C302" i="26"/>
  <c r="F301" i="26"/>
  <c r="F292" i="26" s="1"/>
  <c r="G22" i="27"/>
  <c r="E46" i="27"/>
  <c r="E322" i="27"/>
  <c r="G46" i="27"/>
  <c r="F46" i="27"/>
  <c r="D218" i="27"/>
  <c r="E219" i="27"/>
  <c r="R6" i="26"/>
  <c r="R56" i="26"/>
  <c r="O56" i="26" s="1"/>
  <c r="F66" i="26"/>
  <c r="C66" i="26" s="1"/>
  <c r="R120" i="26"/>
  <c r="I128" i="26"/>
  <c r="F169" i="26"/>
  <c r="C169" i="26" s="1"/>
  <c r="D344" i="26"/>
  <c r="C398" i="26"/>
  <c r="G230" i="27"/>
  <c r="G247" i="27"/>
  <c r="G269" i="27"/>
  <c r="E269" i="27"/>
  <c r="K77" i="26"/>
  <c r="L91" i="26"/>
  <c r="I91" i="26" s="1"/>
  <c r="U91" i="26" s="1"/>
  <c r="O92" i="26"/>
  <c r="I108" i="26"/>
  <c r="O133" i="26"/>
  <c r="I139" i="26"/>
  <c r="R183" i="26"/>
  <c r="J202" i="26"/>
  <c r="C250" i="26"/>
  <c r="G11" i="27"/>
  <c r="G16" i="27"/>
  <c r="C30" i="27"/>
  <c r="G31" i="27"/>
  <c r="E43" i="27"/>
  <c r="G94" i="27"/>
  <c r="E282" i="27"/>
  <c r="G318" i="27"/>
  <c r="O397" i="26"/>
  <c r="G40" i="27"/>
  <c r="C39" i="27"/>
  <c r="G39" i="27" s="1"/>
  <c r="G89" i="27"/>
  <c r="E89" i="27"/>
  <c r="C87" i="27"/>
  <c r="E94" i="27"/>
  <c r="G138" i="27"/>
  <c r="C137" i="27"/>
  <c r="G303" i="27"/>
  <c r="F303" i="27"/>
  <c r="C313" i="27"/>
  <c r="C312" i="27" s="1"/>
  <c r="G314" i="27"/>
  <c r="E318" i="27"/>
  <c r="L24" i="26"/>
  <c r="I27" i="26"/>
  <c r="I346" i="26"/>
  <c r="L345" i="26"/>
  <c r="L344" i="26" s="1"/>
  <c r="C352" i="26"/>
  <c r="C364" i="26"/>
  <c r="E16" i="27"/>
  <c r="D137" i="27"/>
  <c r="D24" i="26"/>
  <c r="K20" i="26"/>
  <c r="I20" i="26" s="1"/>
  <c r="U20" i="26" s="1"/>
  <c r="C25" i="26"/>
  <c r="R169" i="26"/>
  <c r="O169" i="26" s="1"/>
  <c r="C203" i="26"/>
  <c r="P249" i="26"/>
  <c r="I315" i="26"/>
  <c r="J292" i="26"/>
  <c r="L336" i="26"/>
  <c r="Q351" i="26"/>
  <c r="O364" i="26"/>
  <c r="C372" i="26"/>
  <c r="F377" i="26"/>
  <c r="G198" i="27"/>
  <c r="E198" i="27"/>
  <c r="F183" i="26"/>
  <c r="L288" i="26"/>
  <c r="I288" i="26" s="1"/>
  <c r="C293" i="26"/>
  <c r="D5" i="27"/>
  <c r="C218" i="27"/>
  <c r="G219" i="27"/>
  <c r="K342" i="26"/>
  <c r="K336" i="26" s="1"/>
  <c r="R351" i="26"/>
  <c r="R350" i="26" s="1"/>
  <c r="C378" i="26"/>
  <c r="E138" i="27"/>
  <c r="E164" i="27"/>
  <c r="P292" i="26"/>
  <c r="G164" i="27"/>
  <c r="G163" i="27" s="1"/>
  <c r="E331" i="27"/>
  <c r="E196" i="27"/>
  <c r="C185" i="27"/>
  <c r="E185" i="27" s="1"/>
  <c r="E187" i="27"/>
  <c r="C5" i="27"/>
  <c r="E201" i="26" l="1"/>
  <c r="H201" i="26"/>
  <c r="D201" i="26"/>
  <c r="L376" i="26"/>
  <c r="I376" i="26" s="1"/>
  <c r="L201" i="26"/>
  <c r="I377" i="26"/>
  <c r="R201" i="26"/>
  <c r="K201" i="26"/>
  <c r="Q201" i="26"/>
  <c r="I56" i="26"/>
  <c r="U56" i="26" s="1"/>
  <c r="V56" i="26" s="1"/>
  <c r="T201" i="26"/>
  <c r="C184" i="27"/>
  <c r="D184" i="27"/>
  <c r="G321" i="27"/>
  <c r="O249" i="26"/>
  <c r="I202" i="26"/>
  <c r="O272" i="26"/>
  <c r="I225" i="26"/>
  <c r="O225" i="26"/>
  <c r="O202" i="26"/>
  <c r="I249" i="26"/>
  <c r="I272" i="26"/>
  <c r="L175" i="26"/>
  <c r="I175" i="26" s="1"/>
  <c r="U175" i="26" s="1"/>
  <c r="I177" i="26"/>
  <c r="R175" i="26"/>
  <c r="O175" i="26" s="1"/>
  <c r="O177" i="26"/>
  <c r="V82" i="26"/>
  <c r="Y82" i="26"/>
  <c r="Z82" i="26" s="1"/>
  <c r="G341" i="27"/>
  <c r="D86" i="27"/>
  <c r="G99" i="27"/>
  <c r="F39" i="27"/>
  <c r="G162" i="27"/>
  <c r="E162" i="27"/>
  <c r="G364" i="27"/>
  <c r="G246" i="27"/>
  <c r="D254" i="27"/>
  <c r="G328" i="27"/>
  <c r="G306" i="27"/>
  <c r="E255" i="27"/>
  <c r="G312" i="27"/>
  <c r="F312" i="27"/>
  <c r="E312" i="27"/>
  <c r="G195" i="27"/>
  <c r="E195" i="27"/>
  <c r="J201" i="26"/>
  <c r="G413" i="26"/>
  <c r="P201" i="26"/>
  <c r="M201" i="26"/>
  <c r="M413" i="26" s="1"/>
  <c r="N201" i="26"/>
  <c r="S201" i="26"/>
  <c r="S413" i="26" s="1"/>
  <c r="I317" i="26"/>
  <c r="I352" i="26"/>
  <c r="O77" i="26"/>
  <c r="O196" i="26"/>
  <c r="O195" i="26" s="1"/>
  <c r="E336" i="26"/>
  <c r="C336" i="26" s="1"/>
  <c r="O138" i="26"/>
  <c r="R130" i="26"/>
  <c r="O130" i="26" s="1"/>
  <c r="V66" i="26"/>
  <c r="H287" i="26"/>
  <c r="C6" i="26"/>
  <c r="I138" i="26"/>
  <c r="I136" i="26"/>
  <c r="O342" i="26"/>
  <c r="C138" i="26"/>
  <c r="C130" i="26"/>
  <c r="I397" i="26"/>
  <c r="U376" i="26"/>
  <c r="E39" i="27"/>
  <c r="E99" i="27"/>
  <c r="C254" i="27"/>
  <c r="G277" i="27"/>
  <c r="F306" i="27"/>
  <c r="G218" i="27"/>
  <c r="D28" i="27"/>
  <c r="D393" i="27" s="1"/>
  <c r="G272" i="27"/>
  <c r="F385" i="26"/>
  <c r="C385" i="26" s="1"/>
  <c r="O336" i="26"/>
  <c r="G15" i="27"/>
  <c r="E306" i="27"/>
  <c r="G293" i="27"/>
  <c r="F113" i="26"/>
  <c r="C113" i="26" s="1"/>
  <c r="I293" i="26"/>
  <c r="I77" i="26"/>
  <c r="U77" i="26" s="1"/>
  <c r="E178" i="27"/>
  <c r="Y35" i="26"/>
  <c r="Z35" i="26" s="1"/>
  <c r="V35" i="26"/>
  <c r="I350" i="26"/>
  <c r="Y190" i="26"/>
  <c r="Z190" i="26" s="1"/>
  <c r="V190" i="26"/>
  <c r="C202" i="26"/>
  <c r="U130" i="26"/>
  <c r="Y39" i="26"/>
  <c r="Z39" i="26" s="1"/>
  <c r="V39" i="26"/>
  <c r="Y195" i="26"/>
  <c r="Z195" i="26" s="1"/>
  <c r="L292" i="26"/>
  <c r="I292" i="26" s="1"/>
  <c r="Y169" i="26"/>
  <c r="Z169" i="26" s="1"/>
  <c r="V169" i="26"/>
  <c r="C249" i="26"/>
  <c r="Y20" i="26"/>
  <c r="Z20" i="26" s="1"/>
  <c r="V20" i="26"/>
  <c r="Y91" i="26"/>
  <c r="Z91" i="26" s="1"/>
  <c r="V91" i="26"/>
  <c r="V107" i="26"/>
  <c r="E293" i="27"/>
  <c r="F293" i="27"/>
  <c r="E35" i="27"/>
  <c r="G178" i="27"/>
  <c r="E93" i="27"/>
  <c r="E277" i="27"/>
  <c r="F277" i="27"/>
  <c r="O345" i="26"/>
  <c r="C24" i="26"/>
  <c r="C344" i="26"/>
  <c r="C350" i="26"/>
  <c r="I24" i="26"/>
  <c r="O317" i="26"/>
  <c r="I344" i="26"/>
  <c r="T287" i="26"/>
  <c r="O293" i="26"/>
  <c r="L113" i="26"/>
  <c r="I113" i="26" s="1"/>
  <c r="U113" i="26" s="1"/>
  <c r="I114" i="26"/>
  <c r="N287" i="26"/>
  <c r="C301" i="26"/>
  <c r="C351" i="26"/>
  <c r="O344" i="26"/>
  <c r="I336" i="26"/>
  <c r="F287" i="26"/>
  <c r="I345" i="26"/>
  <c r="R292" i="26"/>
  <c r="R287" i="26" s="1"/>
  <c r="O6" i="26"/>
  <c r="I351" i="26"/>
  <c r="I183" i="26"/>
  <c r="C183" i="26"/>
  <c r="F175" i="26"/>
  <c r="C175" i="26" s="1"/>
  <c r="G58" i="27"/>
  <c r="F5" i="27"/>
  <c r="E5" i="27"/>
  <c r="I342" i="26"/>
  <c r="F137" i="27"/>
  <c r="E137" i="27"/>
  <c r="G317" i="27"/>
  <c r="E218" i="27"/>
  <c r="K287" i="26"/>
  <c r="E58" i="27"/>
  <c r="J287" i="26"/>
  <c r="O183" i="26"/>
  <c r="D102" i="27"/>
  <c r="C377" i="26"/>
  <c r="G137" i="27"/>
  <c r="G30" i="27"/>
  <c r="E30" i="27"/>
  <c r="C28" i="27"/>
  <c r="C225" i="26"/>
  <c r="G5" i="27"/>
  <c r="R376" i="26"/>
  <c r="O376" i="26" s="1"/>
  <c r="E313" i="27"/>
  <c r="G313" i="27"/>
  <c r="E15" i="27"/>
  <c r="C272" i="26"/>
  <c r="G185" i="27"/>
  <c r="F15" i="27"/>
  <c r="P287" i="26"/>
  <c r="G87" i="27"/>
  <c r="C86" i="27"/>
  <c r="E87" i="27"/>
  <c r="Q350" i="26"/>
  <c r="O351" i="26"/>
  <c r="O352" i="26"/>
  <c r="G93" i="27"/>
  <c r="R113" i="26"/>
  <c r="O113" i="26" s="1"/>
  <c r="V113" i="26" s="1"/>
  <c r="O120" i="26"/>
  <c r="E321" i="27"/>
  <c r="C292" i="26"/>
  <c r="D287" i="26"/>
  <c r="C201" i="26" l="1"/>
  <c r="Y56" i="26"/>
  <c r="Z56" i="26" s="1"/>
  <c r="H413" i="26"/>
  <c r="D413" i="26"/>
  <c r="K413" i="26"/>
  <c r="N413" i="26"/>
  <c r="C395" i="27"/>
  <c r="L287" i="26"/>
  <c r="L413" i="26" s="1"/>
  <c r="L417" i="26" s="1"/>
  <c r="R413" i="26"/>
  <c r="R416" i="26" s="1"/>
  <c r="J413" i="26"/>
  <c r="T413" i="26"/>
  <c r="P413" i="26"/>
  <c r="G102" i="27"/>
  <c r="D395" i="27"/>
  <c r="U24" i="26"/>
  <c r="V24" i="26" s="1"/>
  <c r="G184" i="27"/>
  <c r="E184" i="27"/>
  <c r="Y77" i="26"/>
  <c r="Z77" i="26" s="1"/>
  <c r="V77" i="26"/>
  <c r="G86" i="27"/>
  <c r="G254" i="27"/>
  <c r="E229" i="27"/>
  <c r="E254" i="27"/>
  <c r="F229" i="27"/>
  <c r="G369" i="27"/>
  <c r="G28" i="27"/>
  <c r="G370" i="27"/>
  <c r="F254" i="27"/>
  <c r="Y6" i="26"/>
  <c r="Z6" i="26" s="1"/>
  <c r="V6" i="26"/>
  <c r="O201" i="26"/>
  <c r="I201" i="26"/>
  <c r="U201" i="26" s="1"/>
  <c r="V195" i="26"/>
  <c r="E287" i="26"/>
  <c r="E413" i="26" s="1"/>
  <c r="Y66" i="26"/>
  <c r="Z66" i="26" s="1"/>
  <c r="O292" i="26"/>
  <c r="F376" i="26"/>
  <c r="C376" i="26" s="1"/>
  <c r="Y113" i="26"/>
  <c r="Z113" i="26" s="1"/>
  <c r="Y376" i="26"/>
  <c r="Z376" i="26" s="1"/>
  <c r="V376" i="26"/>
  <c r="Y130" i="26"/>
  <c r="Z130" i="26" s="1"/>
  <c r="V130" i="26"/>
  <c r="Y24" i="26"/>
  <c r="Z24" i="26" s="1"/>
  <c r="Y175" i="26"/>
  <c r="Z175" i="26" s="1"/>
  <c r="V175" i="26"/>
  <c r="F28" i="27"/>
  <c r="E28" i="27"/>
  <c r="F102" i="27"/>
  <c r="E102" i="27"/>
  <c r="F184" i="27"/>
  <c r="F86" i="27"/>
  <c r="Q287" i="26"/>
  <c r="Q413" i="26" s="1"/>
  <c r="O350" i="26"/>
  <c r="E86" i="27"/>
  <c r="G51" i="27"/>
  <c r="E51" i="27"/>
  <c r="F51" i="27"/>
  <c r="I418" i="26" l="1"/>
  <c r="P419" i="26"/>
  <c r="L420" i="26"/>
  <c r="R420" i="26"/>
  <c r="F413" i="26"/>
  <c r="F420" i="26" s="1"/>
  <c r="F421" i="26" s="1"/>
  <c r="M417" i="26"/>
  <c r="G316" i="27"/>
  <c r="C393" i="27"/>
  <c r="G393" i="27" s="1"/>
  <c r="F316" i="27"/>
  <c r="E316" i="27"/>
  <c r="C287" i="26"/>
  <c r="C413" i="26" s="1"/>
  <c r="I287" i="26"/>
  <c r="Y201" i="26"/>
  <c r="Z201" i="26" s="1"/>
  <c r="V201" i="26"/>
  <c r="O287" i="26"/>
  <c r="Y287" i="26" l="1"/>
  <c r="Z287" i="26" s="1"/>
  <c r="U287" i="26"/>
  <c r="V287" i="26" s="1"/>
  <c r="I413" i="26"/>
  <c r="U413" i="26" s="1"/>
  <c r="O413" i="26"/>
  <c r="I424" i="26" l="1"/>
  <c r="M425" i="26" s="1"/>
  <c r="V413" i="26"/>
  <c r="N415" i="26"/>
  <c r="K415" i="26"/>
  <c r="L415" i="26"/>
  <c r="M415" i="26"/>
  <c r="J415" i="26"/>
  <c r="K425" i="26" l="1"/>
  <c r="J425" i="26"/>
  <c r="N425" i="26"/>
  <c r="L425" i="26"/>
  <c r="F443" i="21"/>
  <c r="F440" i="21"/>
  <c r="F438" i="21"/>
  <c r="F437" i="21"/>
  <c r="F436" i="21"/>
  <c r="F402" i="21"/>
  <c r="F401" i="21"/>
  <c r="F400" i="21"/>
  <c r="F399" i="21"/>
  <c r="F389" i="21"/>
  <c r="F352" i="21"/>
  <c r="F348" i="21"/>
  <c r="E301" i="21"/>
  <c r="D301" i="21"/>
  <c r="E300" i="21"/>
  <c r="D300" i="21"/>
  <c r="E299" i="21"/>
  <c r="D299" i="21"/>
  <c r="E298" i="21"/>
  <c r="D298" i="21"/>
  <c r="F270" i="21"/>
  <c r="F268" i="21"/>
  <c r="F267" i="21"/>
  <c r="F266" i="21"/>
  <c r="F263" i="21"/>
  <c r="F261" i="21"/>
  <c r="F259" i="21"/>
  <c r="F257" i="21"/>
  <c r="F238" i="21"/>
  <c r="F235" i="21"/>
  <c r="F232" i="21"/>
  <c r="G226" i="21" s="1"/>
  <c r="F225" i="21"/>
  <c r="F207" i="21"/>
  <c r="F204" i="21"/>
  <c r="F203" i="21"/>
  <c r="F201" i="21"/>
  <c r="F194" i="21"/>
  <c r="F193" i="21"/>
  <c r="F191" i="21"/>
  <c r="F189" i="21"/>
  <c r="F185" i="21"/>
  <c r="F182" i="21"/>
  <c r="F181" i="21"/>
  <c r="F174" i="21"/>
  <c r="F173" i="21"/>
  <c r="F172" i="21"/>
  <c r="F167" i="21"/>
  <c r="F163" i="21"/>
  <c r="F161" i="21"/>
  <c r="E120" i="21"/>
  <c r="F120" i="21" s="1"/>
  <c r="E119" i="21"/>
  <c r="F119" i="21" s="1"/>
  <c r="E118" i="21"/>
  <c r="F118" i="21" s="1"/>
  <c r="F48" i="21"/>
  <c r="F46" i="21"/>
  <c r="F44" i="21"/>
  <c r="F38" i="21"/>
  <c r="F22" i="21"/>
  <c r="F16" i="21"/>
  <c r="F15" i="21"/>
  <c r="F14" i="21"/>
  <c r="G252" i="21" l="1"/>
  <c r="G441" i="21"/>
  <c r="O425" i="26"/>
  <c r="G87" i="21"/>
  <c r="G306" i="21"/>
  <c r="G7" i="21"/>
  <c r="G434" i="21"/>
  <c r="G42" i="21"/>
  <c r="G164" i="21"/>
  <c r="G178" i="21"/>
  <c r="G186" i="21"/>
  <c r="G395" i="21"/>
  <c r="F298" i="21"/>
  <c r="F299" i="21"/>
  <c r="F300" i="21"/>
  <c r="F301" i="21"/>
  <c r="G195" i="21"/>
  <c r="G222" i="21"/>
  <c r="G264" i="21"/>
  <c r="G208" i="21"/>
  <c r="G243" i="21"/>
  <c r="G147" i="21"/>
  <c r="G271" i="21" l="1"/>
</calcChain>
</file>

<file path=xl/sharedStrings.xml><?xml version="1.0" encoding="utf-8"?>
<sst xmlns="http://schemas.openxmlformats.org/spreadsheetml/2006/main" count="2525" uniqueCount="1418">
  <si>
    <t>Система</t>
  </si>
  <si>
    <t>№ п/п</t>
  </si>
  <si>
    <t>Критерий оценки</t>
  </si>
  <si>
    <t>Параметры оценки критерия (W)</t>
  </si>
  <si>
    <r>
      <t>Коли-чественная оценка параметра (W</t>
    </r>
    <r>
      <rPr>
        <b/>
        <vertAlign val="subscript"/>
        <sz val="10"/>
        <rFont val="Times New Roman"/>
        <family val="1"/>
        <charset val="204"/>
      </rPr>
      <t>i</t>
    </r>
    <r>
      <rPr>
        <b/>
        <sz val="10"/>
        <rFont val="Times New Roman"/>
        <family val="1"/>
        <charset val="204"/>
      </rPr>
      <t>)</t>
    </r>
  </si>
  <si>
    <t>Наименование критерия</t>
  </si>
  <si>
    <t>Весовой коэффициент критерия</t>
  </si>
  <si>
    <r>
      <t>(К</t>
    </r>
    <r>
      <rPr>
        <b/>
        <vertAlign val="sub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– К</t>
    </r>
    <r>
      <rPr>
        <b/>
        <vertAlign val="subscript"/>
        <sz val="10"/>
        <rFont val="Times New Roman"/>
        <family val="1"/>
        <charset val="204"/>
      </rPr>
      <t>8</t>
    </r>
    <r>
      <rPr>
        <b/>
        <sz val="10"/>
        <rFont val="Times New Roman"/>
        <family val="1"/>
        <charset val="204"/>
      </rPr>
      <t>)</t>
    </r>
  </si>
  <si>
    <r>
      <t>(G</t>
    </r>
    <r>
      <rPr>
        <b/>
        <vertAlign val="sub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– G</t>
    </r>
    <r>
      <rPr>
        <b/>
        <vertAlign val="subscript"/>
        <sz val="10"/>
        <rFont val="Times New Roman"/>
        <family val="1"/>
        <charset val="204"/>
      </rPr>
      <t>8</t>
    </r>
    <r>
      <rPr>
        <b/>
        <sz val="10"/>
        <rFont val="Times New Roman"/>
        <family val="1"/>
        <charset val="204"/>
      </rPr>
      <t>)</t>
    </r>
  </si>
  <si>
    <t>1.</t>
  </si>
  <si>
    <t>Индекс результативности &lt;*&gt; (рассчитывается заказчиком программы на основании разработанной методики оценки эффективности реализации программы, утвержденной до начала ее реализации)</t>
  </si>
  <si>
    <t>1. Среднее значение выполнения целевых показателей, утвержденных в программе, составляет 90-100%</t>
  </si>
  <si>
    <t>Среднее значение выполнения целевых показателей составляет 60-89,9%</t>
  </si>
  <si>
    <t>Среднее значение выполнения целевых показателей составляет 30-59,9%</t>
  </si>
  <si>
    <t>Среднее значение выполнения целевых показателей составляет менее 30%</t>
  </si>
  <si>
    <t>2.</t>
  </si>
  <si>
    <t>Финансовое обеспечение составило не менее 80%</t>
  </si>
  <si>
    <t>Финансовое обеспечение составило 50-79,9%</t>
  </si>
  <si>
    <t>Финансовое обеспечение составило менее 50%</t>
  </si>
  <si>
    <t>3.</t>
  </si>
  <si>
    <t>4.</t>
  </si>
  <si>
    <t>Доля полученных средств на мероприятия программы из прочих (за исключением средств бюджета МО) источников</t>
  </si>
  <si>
    <t>Доля средств составила выше 30%</t>
  </si>
  <si>
    <t>Доля средств составила 10-29,9%</t>
  </si>
  <si>
    <t>Доля средств составила менее 10%</t>
  </si>
  <si>
    <t>5.</t>
  </si>
  <si>
    <t>Уровень фактического финансирования программы с утвержденным планом в бюджете с уточненным</t>
  </si>
  <si>
    <t>Уровень фактического финансирования программы в соответствии с кассовым планом</t>
  </si>
  <si>
    <t>Выполнение плановых сроков предоставления отчетов реализации программы</t>
  </si>
  <si>
    <t>Предоставление отчета в срок</t>
  </si>
  <si>
    <t>Предоставление отчета с опозданием</t>
  </si>
  <si>
    <t>Учетный регистр</t>
  </si>
  <si>
    <t>для количественной оценки</t>
  </si>
  <si>
    <t>эффективности реализации программы</t>
  </si>
  <si>
    <t>Критерий (К)</t>
  </si>
  <si>
    <t>Количественная оценка параметра (W)</t>
  </si>
  <si>
    <r>
      <t>Количественная интегральная оценка эффективности программы (Э</t>
    </r>
    <r>
      <rPr>
        <vertAlign val="subscript"/>
        <sz val="12"/>
        <rFont val="Times New Roman"/>
        <family val="1"/>
        <charset val="204"/>
      </rPr>
      <t>кол.</t>
    </r>
    <r>
      <rPr>
        <sz val="12"/>
        <rFont val="Times New Roman"/>
        <family val="1"/>
        <charset val="204"/>
      </rPr>
      <t>)</t>
    </r>
  </si>
  <si>
    <t>Весовой коэффициент критерия(Gi)</t>
  </si>
  <si>
    <t xml:space="preserve">Расчет оценочного показателя по каждому критерию (Gi * Wi),ед. (балл)
</t>
  </si>
  <si>
    <t>для расчета результирующего оценочного показателя программы за _____________</t>
  </si>
  <si>
    <t>Наименование МП</t>
  </si>
  <si>
    <t>балл</t>
  </si>
  <si>
    <r>
      <t>=&gt; эффективную - при 80 &lt;= Э</t>
    </r>
    <r>
      <rPr>
        <vertAlign val="subscript"/>
        <sz val="10"/>
        <rFont val="Times New Roman"/>
        <family val="1"/>
        <charset val="204"/>
      </rPr>
      <t>кол.</t>
    </r>
    <r>
      <rPr>
        <sz val="10"/>
        <rFont val="Times New Roman"/>
        <family val="1"/>
        <charset val="204"/>
      </rPr>
      <t>&lt;= 100;</t>
    </r>
  </si>
  <si>
    <r>
      <t>=&gt; умеренно эффективную - при 60 &lt;= Э</t>
    </r>
    <r>
      <rPr>
        <vertAlign val="subscript"/>
        <sz val="10"/>
        <rFont val="Times New Roman"/>
        <family val="1"/>
        <charset val="204"/>
      </rPr>
      <t>кол.</t>
    </r>
    <r>
      <rPr>
        <sz val="10"/>
        <rFont val="Times New Roman"/>
        <family val="1"/>
        <charset val="204"/>
      </rPr>
      <t>&lt;= 80;</t>
    </r>
  </si>
  <si>
    <r>
      <t>=&gt; недостаточно эффективную - при 40 &lt;= Э</t>
    </r>
    <r>
      <rPr>
        <vertAlign val="subscript"/>
        <sz val="10"/>
        <rFont val="Times New Roman"/>
        <family val="1"/>
        <charset val="204"/>
      </rPr>
      <t>кол.</t>
    </r>
    <r>
      <rPr>
        <sz val="10"/>
        <rFont val="Times New Roman"/>
        <family val="1"/>
        <charset val="204"/>
      </rPr>
      <t>&lt;= 60;</t>
    </r>
  </si>
  <si>
    <r>
      <t>=&gt; неэффективную - при Э</t>
    </r>
    <r>
      <rPr>
        <vertAlign val="subscript"/>
        <sz val="10"/>
        <rFont val="Times New Roman"/>
        <family val="1"/>
        <charset val="204"/>
      </rPr>
      <t>кол.</t>
    </r>
    <r>
      <rPr>
        <sz val="10"/>
        <rFont val="Times New Roman"/>
        <family val="1"/>
        <charset val="204"/>
      </rPr>
      <t>&lt; 40.</t>
    </r>
  </si>
  <si>
    <t xml:space="preserve"> </t>
  </si>
  <si>
    <t xml:space="preserve">Развитие предпринимательства и туризма в  Горном улусе на 2020 -2024 годы </t>
  </si>
  <si>
    <t xml:space="preserve">Повышение эффективности управления муниципальными финансами муниципального района «Горный улус» на 2020-2024 годы  </t>
  </si>
  <si>
    <t>Старшее поколение Горного улуса на 2020-2024 годы</t>
  </si>
  <si>
    <t>План</t>
  </si>
  <si>
    <t>Факт</t>
  </si>
  <si>
    <t>%</t>
  </si>
  <si>
    <t>ед</t>
  </si>
  <si>
    <t>Уменьшение просроченной задолженности от аренды имущества</t>
  </si>
  <si>
    <t>Проведение комплексных кадастровых работ</t>
  </si>
  <si>
    <t>кол.кварталов</t>
  </si>
  <si>
    <t>Наименование программы/подпрограммы/индикатора</t>
  </si>
  <si>
    <t>Единица измерения</t>
  </si>
  <si>
    <t>Охват ветеранов войны и тыла на улусных и республиканских мероприятиях</t>
  </si>
  <si>
    <t xml:space="preserve">Количество ликвидированных несанкционированных мест размещения отходов </t>
  </si>
  <si>
    <t>шт.</t>
  </si>
  <si>
    <t>Посадка зеленых насаждений (цветы)</t>
  </si>
  <si>
    <t>Изготовление печатной продукции</t>
  </si>
  <si>
    <t xml:space="preserve">Количество выходов в СМИ (радио, тв, газета) </t>
  </si>
  <si>
    <t>Количество участников акции "Природа и мы"</t>
  </si>
  <si>
    <t>чел.</t>
  </si>
  <si>
    <t>Количество общественных инспекторов</t>
  </si>
  <si>
    <t>тыс. руб.</t>
  </si>
  <si>
    <t>Развитие народного творчества и культурно- досуговой деятельности Горного улуса</t>
  </si>
  <si>
    <t>Увеличение посещаемости платных мероприятий</t>
  </si>
  <si>
    <t>Увеличение количества участников клубных формирований</t>
  </si>
  <si>
    <t>ед. в год</t>
  </si>
  <si>
    <t>Количество занятых мастеров-умельцев Горного улуса в сфере народных художественных промыслов</t>
  </si>
  <si>
    <t>Развитие библиотечного дела</t>
  </si>
  <si>
    <t>Охват населения библиотечным обслуживанием</t>
  </si>
  <si>
    <t>Количество библиографических записей в сводном электронном каталоге библиотек РС(Я), в том числе включенные в Сводный каталог библиотек РС(Я)</t>
  </si>
  <si>
    <t>тыс.ед.</t>
  </si>
  <si>
    <t>Обновляемость книжного фонда  к общему фонду</t>
  </si>
  <si>
    <t>Доля оцифрованных документов краеведческой и локально-исторической тематики, от общего фонда соответствующего фонда</t>
  </si>
  <si>
    <t>Доля модельных библиотек из общего числа библиотек ЦБС (Региональные)</t>
  </si>
  <si>
    <t>Доля модельных библиотек из общего числа библиотек ЦБС (Российские)</t>
  </si>
  <si>
    <t xml:space="preserve">Количество отсканированных документов муниципального архива в год </t>
  </si>
  <si>
    <t>Доля предоставленных (во всех форматах) зрителю музейных предметов в общем количестве музейных предметов основного фонда</t>
  </si>
  <si>
    <t>Количество музейных предметов основного фонда, зарегестрированных в Государственном каталоге музейного фонда РФ, в год</t>
  </si>
  <si>
    <t>ед.</t>
  </si>
  <si>
    <t>Посещаемость музейных учреждений</t>
  </si>
  <si>
    <t>Выставочные проекты, осуществляемые на территории Горного улуса</t>
  </si>
  <si>
    <t>Проведение научных исследований, экспедиций и проектов</t>
  </si>
  <si>
    <t>Кол-во</t>
  </si>
  <si>
    <t>Внедрение современных аудио-визуальных технологий</t>
  </si>
  <si>
    <t>Доля оцифрованного фондового материала</t>
  </si>
  <si>
    <t>Увеличение основного и научно-вспомогательного фонда</t>
  </si>
  <si>
    <t>Сохранение и популяризация культурного наследия на территории Горного улуса</t>
  </si>
  <si>
    <t>памятники и объекты</t>
  </si>
  <si>
    <t>Доля земельных участков, оформленные под объектами культурного наследия (памятники)</t>
  </si>
  <si>
    <t>Доля объектов культурного наследия, поставленные на ГКН (государственная кадастровая недвижимость)</t>
  </si>
  <si>
    <t xml:space="preserve">Доля объектов культурного наследия, состояние которых является удовлетворительным </t>
  </si>
  <si>
    <t>Доля объектов культурного наследия, информация о которых внесена в электронную базу данных единого государственного реестра объектов культурного наследия (памятников истории и культуры) народов РФ, в общем количестве объектов культурного наследия</t>
  </si>
  <si>
    <t>№</t>
  </si>
  <si>
    <t>Обеспечение вхождения Горного улуса в число 10 ведущих улусов республики по качеству общего образования</t>
  </si>
  <si>
    <t>место</t>
  </si>
  <si>
    <t>15-10</t>
  </si>
  <si>
    <t>Отношение численности детей в возрасте до 3 лет, получающих дошкольное образование в текущем году к сумме численности детей в возрасте до 3 лет, получающих дошкольное образование в текущем году, и численности детей в возрасте до 3 лет, находящихся в очереди на получение в текущем году дошкольного образования</t>
  </si>
  <si>
    <t xml:space="preserve">Доля детей до 3 лет, посещающих дошкольные образовательные учреждения через консультативно-методические пункты </t>
  </si>
  <si>
    <t>Доля выпускников муниципальных общеобразовательных учреждений, получивших аттестат о среднем (полном) общем образовании</t>
  </si>
  <si>
    <t>Показатели среднего балла ЕГЭ по русскому языку</t>
  </si>
  <si>
    <t>Показатели среднего балла ЕГЭ по математике</t>
  </si>
  <si>
    <t>Показатели среднего балла ЕГЭ</t>
  </si>
  <si>
    <t>Показатели средней оценки ОГЭ</t>
  </si>
  <si>
    <t>оценка</t>
  </si>
  <si>
    <t>Доля выпускников, поступивших в вузы, в общей численности выпускников</t>
  </si>
  <si>
    <t>Доля выпускников, поступивших в ссузы, в общей численности выпускников, в том числе после 9 класса</t>
  </si>
  <si>
    <t>Доля выпускников, поступивших в вузы и ссузы технической направленности, в общей численности выпускников</t>
  </si>
  <si>
    <t>Число приглашенных регионального этапа Всероссийской оимпиады школьников</t>
  </si>
  <si>
    <t xml:space="preserve">Число победителей и призеров регионального этапа Всероссийской олимпиады школьников </t>
  </si>
  <si>
    <t>Число общеобразовательных организаций, в которых внедрены учебные планы с углубленным изучением отдельных предметов</t>
  </si>
  <si>
    <t>Число выпускников школ, награжденных серебряным знаком отличия</t>
  </si>
  <si>
    <t>Число выпускников школ, получивших 100 баллов по итогам сдачи ЕГЭ</t>
  </si>
  <si>
    <t>Число профильных классов по иностранному языку</t>
  </si>
  <si>
    <t>Число классов по гендерному принципу</t>
  </si>
  <si>
    <t>Число инновационных образовательных лагерей с участием ведущих школ республики, российских, международных школ нового поколения</t>
  </si>
  <si>
    <t xml:space="preserve">ед. </t>
  </si>
  <si>
    <t>Число образовательных организаций, укрепивших материально-техническую базу по агропрофилированную направлению</t>
  </si>
  <si>
    <t>2.2.1 Инклюзивное образование - равные возможности</t>
  </si>
  <si>
    <t>Доля детей с ограниченными возможностями здоровья, обучающихся на дому, в общей численности детей с ограниченными возможностями здоровья</t>
  </si>
  <si>
    <t>Охват дополнительным дистанционным образованием детей, обучающихся на дому, в общей численности детей, обучающихся на дому</t>
  </si>
  <si>
    <t>Доля педагогических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инвалидностью, в общей численности педагогических работников</t>
  </si>
  <si>
    <t>Доля детей дошкольного возраста, обучающихся по адаптированным образовательным программам</t>
  </si>
  <si>
    <t>Доля учителей, охваченных семинарами и курсами повышения квалификации ФГОС ООО</t>
  </si>
  <si>
    <t>Доля учителей, участвующих в инновационной деятельности</t>
  </si>
  <si>
    <t>Доля публикации учителей по результатам инновационной и экспериментальной деятельности</t>
  </si>
  <si>
    <t>2.2.3 Цифровая образовательная среда</t>
  </si>
  <si>
    <t>Доля общеобразовательных организаций обеспеченных Интернет соединением со скоростью не менее 50 Мбит/с и гарантированным интернет-трафиком</t>
  </si>
  <si>
    <t>Доля образовательных организаций, в которых реализован проект цифровой образовательной среды</t>
  </si>
  <si>
    <t>Доля образовательных учреждений, обучающихся по программам подготовки (IT, высокотехнологичные производства)</t>
  </si>
  <si>
    <t>Доля образовательных организаций, использующих электронное образование  и дистанционные образовательные технологии</t>
  </si>
  <si>
    <t>Число образовательных учебно-технологических комплексов (лабораторий, мастерских по современным направлениям естественно – научного образования)</t>
  </si>
  <si>
    <t>1 </t>
  </si>
  <si>
    <t>Число центров образования цифрового и гуманитарного профилей в рамках федерального проекта «Современная школа» национального проекта «Образование»</t>
  </si>
  <si>
    <t>Число обучающихся, охваченных основными и дополнительными общеобразовательными программами цифрового, естественно-научного и гуманитарного профилей</t>
  </si>
  <si>
    <t>Число образовательных центров компетенций по обучению школьников и взрослого населения по программам непрерывного образования</t>
  </si>
  <si>
    <t>Число обучающихся, ежегодно проходящих обучение по программам непрерывного образования в образовательных организациях среднего профессионального образования</t>
  </si>
  <si>
    <t>Создание организации среднего профессионального образования в с.Бердигестях</t>
  </si>
  <si>
    <t>Доля детей в возрасте от 5 до 18 лет, охваченных дополнительным образованием в общей численности обучающихся</t>
  </si>
  <si>
    <t>Доля детей в возрасте от 5 до 18 лет, охваченных дополнительным образованием технической направленности в общей численности обучающихся</t>
  </si>
  <si>
    <t xml:space="preserve">Число участников открытых онлайн-уроков, реализуемых с учетом опыта цикла открытых уроков «Проектория», «Уроки настоящего» </t>
  </si>
  <si>
    <t xml:space="preserve">Число участников улуса в региональном чемпионате по компетенциям WorldSkills
</t>
  </si>
  <si>
    <t>Число участников улусного конкурса разработчиков «Моя профессия IT»</t>
  </si>
  <si>
    <t xml:space="preserve">Число обучающихся, задействованных в детских общественных объединениях «Дьулуур», «Российское движение школьников»
</t>
  </si>
  <si>
    <t>Доля обучающихся в возрасте 6-18 лет, сдавших всероссийский физкультурно-спортивный комплекс «ГТО» на «золото», «серебро», «бронза»</t>
  </si>
  <si>
    <t>Доля детей в возрасте от 5 до 18 лет, занимающихся в секциях (кружках) спортивной направленности от общей численности обучающихся</t>
  </si>
  <si>
    <t>Количество победителей и призеров республиканских, региональных, всероссийских и международных спортивных соревнований из числа участников спортивных соревнований в рамках комплексной спартакиады учащихся</t>
  </si>
  <si>
    <t>Количество детей — членов (воспитанников) военно-патриотических (спортивных) клубов, зарегистрированных в АИС «Юнармия»</t>
  </si>
  <si>
    <t>Доля детей от 10 до 18 лет, состоящих в отрядах (объединениях) поддержки добровольчества (волонтерства) от общего числа обучающихся</t>
  </si>
  <si>
    <t>Доля руководителей, прошедших повышение квалификации и переподготовку в соответствии с требованиями профессионального стандарта в общей численности указанной категории</t>
  </si>
  <si>
    <t>Доля педагогических работников, прошедших повышение квалификации и переподготовку в соответствии с требованиями профессионального стандарта в общей численности педагогических работников</t>
  </si>
  <si>
    <t>Доля педагогических работников и руководящих кадров, прошедших повышение квалификации с применением дистанционных технологий</t>
  </si>
  <si>
    <t>Доля руководителей общеобразовательных организаций, проходивших аттестацию</t>
  </si>
  <si>
    <t>Доля учителей общеобразовательных   организаций, вовлеченных в национальную 
систему   профессионального роста 
педагогических работников</t>
  </si>
  <si>
    <t>Доля учителей общеобразовательных организаций, повысивших уровень профессионального мастерства в форматах непрерывного образования</t>
  </si>
  <si>
    <t>Доля   педагогических   работников, прошедших добровольную независимую 
оценку профессиональной квалификации</t>
  </si>
  <si>
    <t>Количество стажировочных площадок, 
отобранных для реализации  программ  непрерывного повышения профессионального 
мастерства педагогических работников</t>
  </si>
  <si>
    <t>Укомплектованность образовательных учреждений педагогическими кадрами</t>
  </si>
  <si>
    <t>Доля трудоустроившихся молодых специалистов и продолжающих работу в муниципальной системе образования в течение 3-х лет</t>
  </si>
  <si>
    <t>Доля  педагогических работников, получивших поощрение за подготвку выпускника-стобалльника по ЕГЭ</t>
  </si>
  <si>
    <t>Доля обучающихся 1-11 классов, охваченных отдыхом и оздоровлением, в общей численности обучающихся</t>
  </si>
  <si>
    <t>Доля детей, находящихся в трудной жизненной ситуации, охваченных отдыхом и оздоровлением, в общей численности указанных категорий детей</t>
  </si>
  <si>
    <t xml:space="preserve">Число стационарных организаций отдыха и оздоровления детей, в которых укреплена материально-техническая база </t>
  </si>
  <si>
    <t>Доля детей, обучающихся в первую смену, в общей численности обучающихся</t>
  </si>
  <si>
    <t>Количество новых зданий образовательных организаций, создаваемых путем строительства, приобретения и реконструкции образовательных организаций, в том числе по муниципально-частному партнерству</t>
  </si>
  <si>
    <t>Доля ветхих и аварийных зданий образовательных организаций, в общем количестве объектов образовательных организаций</t>
  </si>
  <si>
    <t>Количество оказанных социально-психологических услуг для молодых семей и молодежи в возрасте от 18 до 35 лет</t>
  </si>
  <si>
    <t>Количество профилактических мероприятий для несовершеннолетних и молодежи</t>
  </si>
  <si>
    <t>Количество реализованных мероприятий (проектов) по гражданско- патриотическому воспитанию молодежи</t>
  </si>
  <si>
    <t>Количество реализованных молодежных добровольческих мероприятий, акций (проектов)</t>
  </si>
  <si>
    <t>Профилактика безнадзорности и правонарушений несовершеннолетних</t>
  </si>
  <si>
    <t>Количество несовершеннолетних, состоящих на учете в КДН и ЗП</t>
  </si>
  <si>
    <t>Охват несовершеннолетних, состоящих на учете, дополнительным образованием в учреждениях культуры, спорта и дополнительного образования</t>
  </si>
  <si>
    <t>Укрепление общественного порядка</t>
  </si>
  <si>
    <t>Доля муниципальных служащих, включенных в кадровый резерв</t>
  </si>
  <si>
    <t>Удельный вес , прошедших обучение по охране труда, работников и работодателей от общего числа работников</t>
  </si>
  <si>
    <t>Проведение мероприятий по обучению для специалистов малого бизнеса</t>
  </si>
  <si>
    <t>Количество изданных (тиражированных) учебно-методических материалов</t>
  </si>
  <si>
    <t>Количество проведенных семинаров, круглых столов, совещаний</t>
  </si>
  <si>
    <t>Проведение медицинских осмотров работников</t>
  </si>
  <si>
    <t>Количество проверок организаций в Горном улусе</t>
  </si>
  <si>
    <t>Развитие дорожного хозяйства на 2020-2024 годы</t>
  </si>
  <si>
    <t>Средний показатель МП</t>
  </si>
  <si>
    <t>2020 г</t>
  </si>
  <si>
    <t xml:space="preserve">Годовой объем ввода жилья, всего </t>
  </si>
  <si>
    <t>кв.м</t>
  </si>
  <si>
    <t>в т.ч. Многоквартирные дома</t>
  </si>
  <si>
    <t>ИЖС</t>
  </si>
  <si>
    <t>1.1. Реализация градостроительной  политики</t>
  </si>
  <si>
    <t>Разработка генеральных планов МО</t>
  </si>
  <si>
    <t>Разработка правил землепользования и застройки МО</t>
  </si>
  <si>
    <t>Количество населенных пунктов,  обеспеченных проектами планировки и межевания территории</t>
  </si>
  <si>
    <t>Актуализация нормативов градостроительного проектирования</t>
  </si>
  <si>
    <t>1.2. Развитие и освоение территорий</t>
  </si>
  <si>
    <t>Удельный вес аварийного жилья к общему объему жилищного фонда</t>
  </si>
  <si>
    <t>2. Обеспечение граждан доступным и комфортным жильем</t>
  </si>
  <si>
    <t>2.1. Обеспечение жильем детей - сирот и детей оставшихся без попечения родителей</t>
  </si>
  <si>
    <t>Количество обеспеченных жилыми помещениями детей - сирот и детей оставшихся без попечения родителей</t>
  </si>
  <si>
    <t>2.2. Обеспечение жильем молодых семей</t>
  </si>
  <si>
    <t>Количество молодых семеи, получивших свидетельство о праве на получение социальной выплаты на приобретение (строительство) жилого помещения</t>
  </si>
  <si>
    <t>3. Модернизация объектов коммунальной инфраструктуры</t>
  </si>
  <si>
    <t>3.1. Развитие водоснабжения</t>
  </si>
  <si>
    <t>Разработка проектно - сметной документации объектов водоснабжения</t>
  </si>
  <si>
    <t>Строительство водоочистных станций (ВОС)</t>
  </si>
  <si>
    <t>3.2. Развитие водоотведения</t>
  </si>
  <si>
    <t>Строительство канализационно - очистной станций (КОС)</t>
  </si>
  <si>
    <t>3.3. Развитие теплоснабжения</t>
  </si>
  <si>
    <t>Разработка проектно - сметной документации объектов теплоснабжения и схемы теплоснабжения</t>
  </si>
  <si>
    <t>Строительство объектов теплоснабжения</t>
  </si>
  <si>
    <t>Протяженность сетей теплоснабжения</t>
  </si>
  <si>
    <t>м.</t>
  </si>
  <si>
    <t xml:space="preserve">Подключение частного сектора </t>
  </si>
  <si>
    <t>домовладений</t>
  </si>
  <si>
    <t>4. Развитие системы обращения с отходами производства и потребления</t>
  </si>
  <si>
    <t>4.1. Обустройство мест размещения отходов</t>
  </si>
  <si>
    <t>Обустройство мест размещения отходов</t>
  </si>
  <si>
    <t>Проектирование полигона твердых коммунальных отходов</t>
  </si>
  <si>
    <t>Рекультивация полигона твердых коммунальных отходов</t>
  </si>
  <si>
    <t>Устройство противопожарных минерализованных полос на территории полигонов твердых коммунальных отходов</t>
  </si>
  <si>
    <t>Общая протяженность автомобильных дорог общего пользования местного значения</t>
  </si>
  <si>
    <t>км.</t>
  </si>
  <si>
    <t>Протяженность автомобильных дорог общего пользования местного значения, не отвечающих нормативным требованиям</t>
  </si>
  <si>
    <t>Количество отремонтированных инженерных сооружений муниципальных автомобильных дорог</t>
  </si>
  <si>
    <t>Протяженность построенных автодорог муниципального значения</t>
  </si>
  <si>
    <t>Протяженность отремонтированных межпоселковых автодорог муниципального значения</t>
  </si>
  <si>
    <t>Муниципальная программа  «Энергосбережение на территории МР "Горный улус" на 2020-2024 годы»</t>
  </si>
  <si>
    <t>Цель– снижение затрат бюджета и населения за потребленные энергоресурсы путем внедрения современных энергосберегающих технологий</t>
  </si>
  <si>
    <t>Межмуниципальная программа «Развитие сельскохозяйственного производства в МР «Горный улус» на период 2018-2022 годы»</t>
  </si>
  <si>
    <t>Развитие  животноводства</t>
  </si>
  <si>
    <t>Поголовье сельскохозяйственных животных</t>
  </si>
  <si>
    <t>Крупный рогатый скот</t>
  </si>
  <si>
    <t>гол.</t>
  </si>
  <si>
    <t>в том числе коровы</t>
  </si>
  <si>
    <t>Лошади</t>
  </si>
  <si>
    <t>в том числе кобылы</t>
  </si>
  <si>
    <t>Свиньи</t>
  </si>
  <si>
    <t>в том числе маток</t>
  </si>
  <si>
    <t>Птицы</t>
  </si>
  <si>
    <t>Олени</t>
  </si>
  <si>
    <t>Осеменение КРС</t>
  </si>
  <si>
    <t>Производство продукции животноводства</t>
  </si>
  <si>
    <t>Производство мяса в живом весе</t>
  </si>
  <si>
    <t>тн</t>
  </si>
  <si>
    <t>Сдача мяса</t>
  </si>
  <si>
    <t>Валовый надой молока</t>
  </si>
  <si>
    <t>Закуп молока</t>
  </si>
  <si>
    <t>Удой от 1 ф/к</t>
  </si>
  <si>
    <t>кг</t>
  </si>
  <si>
    <t>Производство яиц</t>
  </si>
  <si>
    <t>тыс. штук</t>
  </si>
  <si>
    <t>Развитие растениеводства</t>
  </si>
  <si>
    <t>Посевная площадь сельхозкультур</t>
  </si>
  <si>
    <t>Картофель</t>
  </si>
  <si>
    <t>га</t>
  </si>
  <si>
    <t>Овощи открытого грунта</t>
  </si>
  <si>
    <t>Овощи закрытого грунта</t>
  </si>
  <si>
    <t>Валовый сбор сельхозкультур</t>
  </si>
  <si>
    <t>цн</t>
  </si>
  <si>
    <t>Урожайность сельхозкультур</t>
  </si>
  <si>
    <t>цн/га</t>
  </si>
  <si>
    <t>Сено</t>
  </si>
  <si>
    <t>Сенаж</t>
  </si>
  <si>
    <t>Завоз семян и удобрений</t>
  </si>
  <si>
    <t>Многолетние травы</t>
  </si>
  <si>
    <t>тонн</t>
  </si>
  <si>
    <t>Площадь посадки многолетних трав</t>
  </si>
  <si>
    <t>Овес</t>
  </si>
  <si>
    <t>Развитие кормопроизводства</t>
  </si>
  <si>
    <t>Восстановление пашен</t>
  </si>
  <si>
    <t>Строительство изгороди</t>
  </si>
  <si>
    <t>км</t>
  </si>
  <si>
    <t>Приобретение с\х техники</t>
  </si>
  <si>
    <t xml:space="preserve">единиц </t>
  </si>
  <si>
    <t>Сохранение отрасли звероводства</t>
  </si>
  <si>
    <t>Поголовье серебристо-черных лисиц во всех формах хозяйствования, на конец года</t>
  </si>
  <si>
    <t>голов</t>
  </si>
  <si>
    <t>Развитие пищевой и перерабатывающей промышленности</t>
  </si>
  <si>
    <t>Основная цель  - развитие пищевой и перерабатывающей промышленности</t>
  </si>
  <si>
    <t>Увеличение объема производства хлеба и хлебобулочных изделий к 2022 году до 767,5 тонн</t>
  </si>
  <si>
    <t>Производство хлеба и хлебобулочных изделий</t>
  </si>
  <si>
    <t>Молочная промышленность</t>
  </si>
  <si>
    <t>Увеличение объема производства цельномолочной продукции к 2022 году до 1800 тонн</t>
  </si>
  <si>
    <t>Производство цельномолочной продукции (в пересчете на молоко)</t>
  </si>
  <si>
    <t>Увеличение объема производства масла сливочного к 2022 году до 64 тонн</t>
  </si>
  <si>
    <t>Производство масла сливочного</t>
  </si>
  <si>
    <t>Мясная продукция</t>
  </si>
  <si>
    <t>Увеличение объема производства мясных полуфабрикатов к 2022 году до 47 тонн</t>
  </si>
  <si>
    <t>Полуфабрикаты мясные (мясосодержащие) охлажденные, подмороженные и замороженные</t>
  </si>
  <si>
    <t>Количество объектов, зарегистрированных в собственность МР «Горный улус»</t>
  </si>
  <si>
    <t>Выполнение плана доходов от сдачи в аренду муниципального имущества</t>
  </si>
  <si>
    <t>Подпрограмма №2 Управление земельными ресурсами</t>
  </si>
  <si>
    <t>Количество земельных участков, зарегистрированных в собственность муниципального района</t>
  </si>
  <si>
    <t>Выполнение плана доходов от сдачи в аренды неразграниченных земельных участков муниципального имущества</t>
  </si>
  <si>
    <t>Увеличение фонда перераспределения земель сх назначения</t>
  </si>
  <si>
    <t>Уменьшение просроченной задолженности от аренды неразраниченных земель</t>
  </si>
  <si>
    <t>Развитие предпринимательства в Горном улусе</t>
  </si>
  <si>
    <t>Количество субъектов малого и среднего предпринимательства</t>
  </si>
  <si>
    <t>Оборот продукции субъектов малого и среднего предпринимательства</t>
  </si>
  <si>
    <t>млн. руб</t>
  </si>
  <si>
    <t>Объем отгруженных товаров собственного производства, выполнения работ и услуг</t>
  </si>
  <si>
    <t>Объем налоговых поступлений по специальным режимам налогообложения</t>
  </si>
  <si>
    <t>тыс. руб</t>
  </si>
  <si>
    <t>Количество субъектов малого и среднего предпринимательства получивших финансовую поддержку</t>
  </si>
  <si>
    <t>Количество объектов имущества в Перечне муниципального имущества</t>
  </si>
  <si>
    <t>Доля заключенных договоров аренды по отношению к общему количеству имущества в Перечне муниципального имущества</t>
  </si>
  <si>
    <t>Доля занятых в малом бизнесе от общего числа занятых в экономике</t>
  </si>
  <si>
    <t>Развитие туризма</t>
  </si>
  <si>
    <t>Количество посетивших Горный улус туристов</t>
  </si>
  <si>
    <t>Объем туристских услуг</t>
  </si>
  <si>
    <t>Доля граждан, использующих механизм получения услуг в электронной форме</t>
  </si>
  <si>
    <t>Количество размещенных телепередач с участием представителей Администрации МР, (прямой эфир, новостные выпуски, информационные передачи)</t>
  </si>
  <si>
    <t>Количество размещенных программ на радиоканале «Дабаан»</t>
  </si>
  <si>
    <t xml:space="preserve">Количество опубликованных материалов, пресс-релизов (информаций в год)  Администрации МР «Горный улус» </t>
  </si>
  <si>
    <t>Количество проведенных конкурсов журналистского мастерства в год</t>
  </si>
  <si>
    <t>Ведомственная целевая программа «Развитие кадрового потенциала муниципальных служащих и работников органов местного самоуправления МР «Горный улус» на 2020-2024 годы»</t>
  </si>
  <si>
    <t>Формирование эффективной системы управления муниципальной службой</t>
  </si>
  <si>
    <t>Доля МО, принявших участие в реализации программы развития муниципальной службы</t>
  </si>
  <si>
    <t>Создание условий для профессионального развития и подготовки кадров муниципальной службы</t>
  </si>
  <si>
    <t xml:space="preserve">Удельный вес муниципальных служащих с образованием «Государственное и муниципальное управление»      </t>
  </si>
  <si>
    <t>Количество муниципальных служащих, прошедших курсы повышения квалификации</t>
  </si>
  <si>
    <t>Количество муниципальных служащих, прошедших аттестацию</t>
  </si>
  <si>
    <t>Специальная оценка условий труда работающих в организациях, раположенных на территории Горного улуса</t>
  </si>
  <si>
    <t>Удельный вес рабочих мест, на которых проведена аттестация рабочих мест по условиям труда (% от общего количества рабочих мест в Горном улусе)</t>
  </si>
  <si>
    <t>Непрерывная подготовка работников по охране труда. Повышение уровня профессиональных компетенций специалистов</t>
  </si>
  <si>
    <t>Информационное обеспечение и пропаганда охраны труда</t>
  </si>
  <si>
    <t>Управление профессиональными рисками</t>
  </si>
  <si>
    <t>Цель - Повышение качества жизни людей старшего возраста</t>
  </si>
  <si>
    <t>Количество детей войны, получивших поддержку в течении реализации муниципальной программы</t>
  </si>
  <si>
    <t>Цель - развитие некоммерческого сектора на территории Горного улуса</t>
  </si>
  <si>
    <t>1. Поддержка и содействие в работе общественных организаций и формирований</t>
  </si>
  <si>
    <t>1.1. Предоставление субсидий на поддержку СО НКО, деятельность которых направлена на реализацию социальных проектов</t>
  </si>
  <si>
    <t>Количество юридически зарегистрированных СО НКО на территории МР</t>
  </si>
  <si>
    <t>Доля юридически зарегистрированных ТОС на территории МР из общего числа "туелбэ"</t>
  </si>
  <si>
    <t>2. Предоставление информационной, консультационной поддержки СО НКО</t>
  </si>
  <si>
    <t>2.1. Формирование благоприятного информационного пространства в сфере СО НКО и ТОС</t>
  </si>
  <si>
    <t>Увеличение количества проектов, получивших Грантовые поддержки</t>
  </si>
  <si>
    <t>Увеличение доли СО НКО, получивших Грантовые поддержки, от общего числа учасников конкурсов</t>
  </si>
  <si>
    <t>Цель - Повышение доступности социального обслуживания населения; создание условий для роста благосостояния граждан; социальная интеграция инвалидов в общество</t>
  </si>
  <si>
    <t>Доля лиц с ограниченными возможностями здоровья и инвалидов вовлеченных в проводимых мероприятиях по социализации в сбществе</t>
  </si>
  <si>
    <t>Доля доступных для инвалидов и других маломобильных групп населения приоритетных объектов социальной инфраструктуры</t>
  </si>
  <si>
    <t>Муниципальная программа«Семейная политика в Горном улусе на 2020-2024 годы»</t>
  </si>
  <si>
    <t>Цель - Поддержка, укрепление и защита семьи и ценностей семейной жизни, создание необходимых условий для выполнения семьей ее функций</t>
  </si>
  <si>
    <t>Планирование семьи</t>
  </si>
  <si>
    <t>Коэффициент естественного прироста</t>
  </si>
  <si>
    <t>Коэффициент устойчивости браков</t>
  </si>
  <si>
    <t>Доля детей, охваченных курсом "Азбука семьи" из числа старшеклассников</t>
  </si>
  <si>
    <t>Доля матерей, охваченных курсом "Школа матери" из числа беременных женщин</t>
  </si>
  <si>
    <t xml:space="preserve">Количество граждан, получивших психологическую услугу по программе "Модель семьи" </t>
  </si>
  <si>
    <t xml:space="preserve">Укрепление института семьи </t>
  </si>
  <si>
    <t>Количество мероприятий, направленных на развитие духовно-нравственных традиций семейных отношений</t>
  </si>
  <si>
    <t>Доля численности населения, охваченного полным запретом продажи алкоголя, из общего числа населения</t>
  </si>
  <si>
    <t>Количество мероприятий по пропаганде ЗОЖ</t>
  </si>
  <si>
    <t>Повышение качества жизни малоимущих семей</t>
  </si>
  <si>
    <t>Доля малоимущих семей, состоящих в реестре особо нуждающихся семей, из общего числа семей</t>
  </si>
  <si>
    <t xml:space="preserve">Количество граждан старше 18 лет, получивших психологическую услугу по программе "Социализация личности" </t>
  </si>
  <si>
    <t>Муниципальная программа«Профилактика правонарушений в Горном улусе на 2020-2024 годы»</t>
  </si>
  <si>
    <t>Цель-стабилизация криминальной ситуации в Горном улусе, совершенствование комплексного подхода развития и повышения эффективности системы профилактики правонарушения по работе с несовешеннолетними детьми, подростками и семьями, находящихся в трудной жизненной ситуации</t>
  </si>
  <si>
    <t>1. Профилактика безнадзорности и правонарушений несовершеннолетних</t>
  </si>
  <si>
    <t>Число семей находящихся в социально – опасном положении</t>
  </si>
  <si>
    <t>Количество преступлений,совершенных в состоянии алкогольного опьянения</t>
  </si>
  <si>
    <t xml:space="preserve">Количество установленных уличных камер видеонаблюдения </t>
  </si>
  <si>
    <t>Социально-психологическое сопровождение молодых семей и молодежи</t>
  </si>
  <si>
    <t>Профилактическая работа с несовершеннолетними и молодежью</t>
  </si>
  <si>
    <t>Создание условий для повышения социальной ответственности, самореализации, развития молодежи</t>
  </si>
  <si>
    <t>Доля молодежи в возрасте от 14 до 35 лет организованные общественными формированиями, реализующие социально-значимые проекты</t>
  </si>
  <si>
    <t>Формирование и координация патриотического воспитания молодежи</t>
  </si>
  <si>
    <t>На основании информационного письма Министерства по делам молодежи и социальным коммуникациям РС (Я) от 10.07.2020 г.№09/2580-03 и во исполнение Указа Главы РС (Я) от 17 марта 2020 года №1055 о введении режима повышенной готовности на территории Республики Саха (Якутия) и мерах противодействий распространения новой коронавирусной инфекции организация  3 проектов приостановлены, а также мероприятия из МЦП «Молодежная политика Горного улуса», что повлекло неисполнение индикатора в 100%</t>
  </si>
  <si>
    <t>Развитие добровольчества (волонтерства)</t>
  </si>
  <si>
    <t>Увеличение доли населения Горного улуса, систематически занимающегося физической культурой и спортом (%)</t>
  </si>
  <si>
    <t>Доля лиц с ограниченнными возможностями здоровья и инвалидов, систематически занимающихся физической культурой и спортом, в общей численности данной категории населения (%)</t>
  </si>
  <si>
    <t>Количество медалей, завоеванных спортсменами Горного улуса на официальных спортивных мероприятиях (Чемпионаты и Первенства РС(Я), России, Европы и Мира)</t>
  </si>
  <si>
    <t xml:space="preserve">Доля граждан, систематически занимающихся национальными видами спорта РС(Я), в общей численности населения  </t>
  </si>
  <si>
    <t xml:space="preserve">Уровень обеспеченности населения спортивными сооружениями исходя из единовременной пропускной способности объектов спорта (спортивные объекты, спортзалы, плоскостные сооружения и т.д.)                                       </t>
  </si>
  <si>
    <t>Участие коллективов, мастеров – ремесленников в фестивалях, конкурсах, выставках российского, международного уровней (очное)</t>
  </si>
  <si>
    <t>Развитие музейного дела в Горном улусе</t>
  </si>
  <si>
    <t>исторические места</t>
  </si>
  <si>
    <t>Поисково-исследовательская работа по выявлению исторических, памятных мест Горного улуса</t>
  </si>
  <si>
    <t>археологические места</t>
  </si>
  <si>
    <t xml:space="preserve">Научно-исследовательские экспедиции 
по выявлению мест нахождения ОКН по разделу «Археология» 
</t>
  </si>
  <si>
    <t>Цель -Формирование открытого комфортного образовательного пространства для развития человеческого потенциала</t>
  </si>
  <si>
    <t xml:space="preserve">Развитие образования муниципального района "Горный улус" </t>
  </si>
  <si>
    <t>№2 Совершенствование общего образования</t>
  </si>
  <si>
    <t>2.1 Создание условий для развития дошкольного образования в соответствии с федеральными государственными стандартами дошкольного образования</t>
  </si>
  <si>
    <t>2.2 Создание условий для обеспечения качественного общего образования в соответствии с федеральными государственными образовательными стандартами общего образования.</t>
  </si>
  <si>
    <t>2.2.2 Внедрение ФГОС ООО в условиях инновационной деятельности образовательных организаций</t>
  </si>
  <si>
    <t xml:space="preserve"> 2.3 Реализация проекта "Современная школа" в рамках национального проекта "Образование"</t>
  </si>
  <si>
    <t>2.4 Реализация проекта "Новые возможности для каждого" в рамках национального проекта "Образование"</t>
  </si>
  <si>
    <t>№ 3 "Воспитание и дополнительное образование детей"</t>
  </si>
  <si>
    <t>3.1 Обеспечение доступного дополнительного образования детей</t>
  </si>
  <si>
    <t>3.2 Совершенствование содержания образовательных программ дополнительного образования детей</t>
  </si>
  <si>
    <t>№ 4 "Повышение профессионального мастерства кадров"</t>
  </si>
  <si>
    <t>4.1 Повышение профессионального уровня педагогических и руковдящих кадров</t>
  </si>
  <si>
    <t>4.2 Реализация проекта "Учитель будущего"  в рамках национального проекта "Образование"</t>
  </si>
  <si>
    <t>4.3 Подготовка кадров в сфере образования</t>
  </si>
  <si>
    <t>№ 5 "Отдых и оздоровление детей"</t>
  </si>
  <si>
    <t>5.1 Обеспечение организации отдыха, оздоровления и занятости детей в каникулярное время</t>
  </si>
  <si>
    <t>5.2 Расширение сети стационарных лагерей и их материально-технической базы</t>
  </si>
  <si>
    <t>№ 6 "Создание условий для развития инфраструктуры системы образования улуса"</t>
  </si>
  <si>
    <t>6.1 Строительство, приобретение, реконструкция и ремонт объектов образования</t>
  </si>
  <si>
    <t>Цель- улучшение экологической  ситуации в улусе</t>
  </si>
  <si>
    <t>Установка баннеров</t>
  </si>
  <si>
    <t>Посадка зеленых насаждений (деревьев)</t>
  </si>
  <si>
    <t>Посадка зеленых насаждений (кустарники)</t>
  </si>
  <si>
    <t>Плата за негативное воздействие на окружающую среду</t>
  </si>
  <si>
    <t>Взимание штрафов</t>
  </si>
  <si>
    <t>1. Совершенствование программно-целевых методов управления бюджетным процессом с учетом муниципальных программ</t>
  </si>
  <si>
    <t>Повышение эффективности муниципальных программ</t>
  </si>
  <si>
    <t>УЭР</t>
  </si>
  <si>
    <t>2. Формирование условий для обеспечения долгосрочной устойчивости и сбалансированности местных бюджетов</t>
  </si>
  <si>
    <t>Оценка платежеспособности и качества управления финансами муниципального района</t>
  </si>
  <si>
    <t>Высокий</t>
  </si>
  <si>
    <t>Оценка платежеспособности и качества управления финансами сельских поселений</t>
  </si>
  <si>
    <t>Да/нет</t>
  </si>
  <si>
    <t>да</t>
  </si>
  <si>
    <t>Уменьшение необоснованной текущей кредиторской и дебиторской задолженности муниципальных учреждений и сельских поселений</t>
  </si>
  <si>
    <t>3. Повышение эффективности управления доходами муниципальных образований</t>
  </si>
  <si>
    <t>Снижение недоимки по неналоговым платежам в консолидированный бюджет муниципального района на начало года от уровня прошлого года</t>
  </si>
  <si>
    <t>да/нет</t>
  </si>
  <si>
    <t>Снижение недоимки по налоговым платежам в консолидированный бюджет муниципального района на начало года от уровня прошлого года</t>
  </si>
  <si>
    <t xml:space="preserve">4. Оптимизация и повышение эффективности бюджетных расходов  </t>
  </si>
  <si>
    <t>Разработка методики оценки бюджетного эффекта (экономия, дополнительные расходы) от проведенных мероприятий по усовершенствованию системы муниципальной поддержки реального сектора экономики</t>
  </si>
  <si>
    <t>нет</t>
  </si>
  <si>
    <t>Разработка методики оценки качества финансового менеджмента главных распорядителей бюджетных средств</t>
  </si>
  <si>
    <t>5. Создание условий для развития внутреннего муниципального финансового контроля и аудита, контроля в сфере закупок</t>
  </si>
  <si>
    <t>Соотношение объема проверенных средств местного бюджета и общей суммы расходов местного бюджета при осуществлении внутреннего муниципального финансового контроля</t>
  </si>
  <si>
    <t>&gt; 20</t>
  </si>
  <si>
    <t>Охват главных администраторов бюджетных средств анализом внутреннего финансового контроля и внутреннего финансового аудита</t>
  </si>
  <si>
    <t>&gt;5</t>
  </si>
  <si>
    <t>Охват муниципальных заказчиков анализом по контролю в сфере закупок</t>
  </si>
  <si>
    <t>&gt;3</t>
  </si>
  <si>
    <t>6. Обеспечение открытости и прозрачности управления муниципальными финансами</t>
  </si>
  <si>
    <t>Разработка механизмов взаимодействия ОМСУ и общества, обеспечивающих повышение финансовой грамотности населения и информированности</t>
  </si>
  <si>
    <t>7. Развитие механизма инициативного бюджетирования</t>
  </si>
  <si>
    <t>Количество вовлеченных в программу развития инициативного бюджетирования муниципалитетов</t>
  </si>
  <si>
    <t>Реализация проектов по механизмам инициативного бюджетирования (процент реализованных проектов от поданных заявок)</t>
  </si>
  <si>
    <t>8. Создание условий для развития информационной среды и технологий, необходимых для управления бюджетным процессом</t>
  </si>
  <si>
    <t>Доля учетных функций экономических субъектов, включенных в функциональные требования к единой централизованной информационной системе учета и отчетности</t>
  </si>
  <si>
    <t>Доля общего числа экономических субъектов, использующих для выполнения учетных функций «облачную» технологию учета и отчетности</t>
  </si>
  <si>
    <t>Количество газифицированных населенных пунктов улуса</t>
  </si>
  <si>
    <t>Количество котельных в населенных пунктах улуса переведенных на газовое топливо</t>
  </si>
  <si>
    <t>Протяженность построенных внутрипоселковых газовых сетей</t>
  </si>
  <si>
    <t>Количество домовладений, получивших возможность подключиться к сетям газоснабжения, за отчетный период</t>
  </si>
  <si>
    <t>Количество разработанных схем газоснабжения населенных пунктов улуса</t>
  </si>
  <si>
    <t xml:space="preserve">Цель-Сохранение доли сельского населения в общей численности населения Республики Саха (Якутия); Достижение соотношения среднемесячных располагаемых ресурсов сельского и городского домохозяйств до 80 процентов в 2025 году; Повышение доли общей площади благоустроенных жилых помещений в сельских населенных пунктах до 10 процентов в 2025 году.
</t>
  </si>
  <si>
    <t>Сохранение доли сельского населения в общей численности населения Республики Саха (Якутия)</t>
  </si>
  <si>
    <t>Достижение соотношения среднемесячных располагаемых ресурсов сельского населения и городских домохозяйств</t>
  </si>
  <si>
    <t xml:space="preserve">Повышение доли общей площади жилых помещений в сельских населенных пунктах, оборудованной всеми видами лагоустройства (водопроводом, водоотведением, отоплением (за исключением печного отопления), ваннами (душем), горячим </t>
  </si>
  <si>
    <t>№1 «Создание условий для обеспечения доступным и комфортным жильем сельского населения»</t>
  </si>
  <si>
    <t>№1.1. Развитие жилищного строительства на сельских территориях и повышение уровня благоуегройства домовладений</t>
  </si>
  <si>
    <t>Ввод (приобретение) жилых помещений (жилых домов) для граждан, проживающих на сельских территориях</t>
  </si>
  <si>
    <t xml:space="preserve"> тыс.кв.м</t>
  </si>
  <si>
    <t>Ввод жилых помещений (жилых домов), предоставляемых на условиях найма гражданам, проживающим на сельских серриториях</t>
  </si>
  <si>
    <t xml:space="preserve"> №2 «Создание н развитие инфраструктуры на сельских территориях»</t>
  </si>
  <si>
    <t>№2.1. Современный облик сельских территорий</t>
  </si>
  <si>
    <t xml:space="preserve">Количество реализованных проектов комплексного развития муниципального образования(сельских территорий или сельских агломераций) </t>
  </si>
  <si>
    <t xml:space="preserve">Количество реализованных проектов комплексного развития сельских территорий или сельских агломераций (объекты капитального строительства) </t>
  </si>
  <si>
    <t xml:space="preserve">Количество реализованных проектов комплексного развития сельских территорий или сельских агломераций (мероприятия) </t>
  </si>
  <si>
    <t>Семейная политика в Горном улусе на 2020-2024 годы</t>
  </si>
  <si>
    <t>Энергосбережение на территории МР "Горный улус" на 2020-2024 годы</t>
  </si>
  <si>
    <t>Наименование мероприятий</t>
  </si>
  <si>
    <t>Предусмотрено по программе на 2020 год(тыс.руб.)</t>
  </si>
  <si>
    <t>Кассовые расходы за 2020  (тыс.руб.)</t>
  </si>
  <si>
    <t>Итого</t>
  </si>
  <si>
    <t>ФБ</t>
  </si>
  <si>
    <t>РБ</t>
  </si>
  <si>
    <t>МР</t>
  </si>
  <si>
    <t>МО</t>
  </si>
  <si>
    <t>ВБ</t>
  </si>
  <si>
    <t>Градостроительное планирование развития территорий. Снижение административных барьеров в области строительства</t>
  </si>
  <si>
    <t>Реализация градостроительной политики</t>
  </si>
  <si>
    <t>Развитие и освоение территорий</t>
  </si>
  <si>
    <t>Обеспечение граждан доступным и комфортным жильем</t>
  </si>
  <si>
    <t xml:space="preserve"> Модернизация объектов коммунальной инфраструктуры</t>
  </si>
  <si>
    <t>Развитие водоснабжения</t>
  </si>
  <si>
    <t>Развитие водоотведения</t>
  </si>
  <si>
    <t xml:space="preserve">Развитие системы обращения с отходами производства и потребления </t>
  </si>
  <si>
    <t>МП"Развитие дорожного хозяйства в МР "Горный улус" на 2020-2024 годы"</t>
  </si>
  <si>
    <t>Инженерные сооружения муниципальных автомобильных дорог</t>
  </si>
  <si>
    <t>Строительство, проектирование и ремонт муниципальных автомобильных дорог</t>
  </si>
  <si>
    <t>Специальная оценка условий труда работающих в организациях, расположенных на территории Горного улуса</t>
  </si>
  <si>
    <t xml:space="preserve">Проведение специальной оценки условий труда, улучшение условий труда в организациях
</t>
  </si>
  <si>
    <t xml:space="preserve">Непрерывная подготовка работников по охране труда </t>
  </si>
  <si>
    <t>Выезды по обмену опытом по внедрению современных средств безопасности труда и улучшению условий труда работников, тиражирование лучших практик в сфере охраны труда</t>
  </si>
  <si>
    <t>Обучение руководителей и  работников организаций в области охраны труда. Организация и проведение  семинаров по охране труда</t>
  </si>
  <si>
    <t>Организация и проведение конкурсов на лучшую организацию и лучшего специалиста по охране труда</t>
  </si>
  <si>
    <t xml:space="preserve">Обеспечение работников средствами индивидуальной и коллективной защиты        </t>
  </si>
  <si>
    <t>Проведение  медицинских осмотров работников</t>
  </si>
  <si>
    <t>Повышение квалификации, проведение семинаров, совещаний ,круглых столов , конференций</t>
  </si>
  <si>
    <t>Профессиональная переподготовка</t>
  </si>
  <si>
    <t>Проведение конкурса «Команда Главы» для определения кандидатов на резерв МР «Горный улус»</t>
  </si>
  <si>
    <t xml:space="preserve">МП «Семейная политика в Горном улусе на 2020-2024 годы»  </t>
  </si>
  <si>
    <t>Оказание поддержки семей при рождении ребенка</t>
  </si>
  <si>
    <t>Снижение уровня безбрачия населения</t>
  </si>
  <si>
    <t xml:space="preserve"> Укрепление института семьи</t>
  </si>
  <si>
    <t>Повышение   роли   семьи   в патриотическом воспитании подрастающего поколения, выражение общественного признания заслуг семьи</t>
  </si>
  <si>
    <t>Организация и проведение улусных, республиканских мероприятий посвященных укреплению института семьи. Поддержка Совета отцов и женсовета Горного улуса</t>
  </si>
  <si>
    <t>Поддержка клубов Ассоциации приемных родителей. Профилактика социального сиротства</t>
  </si>
  <si>
    <t xml:space="preserve">Укрепление общественного здоровья </t>
  </si>
  <si>
    <t>Мотивирование населения на ведение трезвого здорового образа жизни</t>
  </si>
  <si>
    <t xml:space="preserve">Проведение мероприятий, направленное на укрепление общественного здоровья  </t>
  </si>
  <si>
    <t>Финансовое просвещение населения</t>
  </si>
  <si>
    <t xml:space="preserve">Информирование населения о мерах социальной поддержки, выявление семей, нуждающихся в государственной поддержке. </t>
  </si>
  <si>
    <t>Организация  и проведение благотворительных акций, субботников, соревнований в помощь многодетным и малообеспеченным семьям</t>
  </si>
  <si>
    <t>МП "Старшее поколение в Горном улусе на 2020-2024 годы"</t>
  </si>
  <si>
    <t>Социальная защита прав и интересов старшего поколения</t>
  </si>
  <si>
    <t>Улучшение жилищных условий детям войны</t>
  </si>
  <si>
    <t>Денежные выплаты участникам ВОВ, вдовам в связи с празднованием Дня Победы.</t>
  </si>
  <si>
    <t>Предоставление льгот Почетным гражданам Горного улуса на подписку улусной газеты "Улэ Кууьэ"</t>
  </si>
  <si>
    <t>Мероприятия ко Дню Победы - 9 мая. День пожилых</t>
  </si>
  <si>
    <t>Активное долголетие</t>
  </si>
  <si>
    <t>Поддержка долгожителей</t>
  </si>
  <si>
    <t>Поддержка общественных организаций ветеранов (Совет ветеранов, Школа третьего возраста 50+)</t>
  </si>
  <si>
    <t>Организация мероприятий, направленная на повышение социальной активности граждан старшего поколения</t>
  </si>
  <si>
    <t>Обеспечивающая программа</t>
  </si>
  <si>
    <t>Поддержка и содействие в работе общественных организаций и формирований</t>
  </si>
  <si>
    <t>Повышение активности населения посредством организации деятельности общественных организаций</t>
  </si>
  <si>
    <t>Предоставление субсидий на поддержку СО НКО, деятельность которых направлена на реализацию социальных проектов</t>
  </si>
  <si>
    <t>Развитие ТОС</t>
  </si>
  <si>
    <t>Стимулирование активности граждан</t>
  </si>
  <si>
    <t>Предоставление информационной, консультационной поддержки СО НКО</t>
  </si>
  <si>
    <t>Формирование благоприятного иинформационного пространства в сфере СО НКО и ТОС</t>
  </si>
  <si>
    <t>Повышение квалификации кадров СО НКО И ТОС</t>
  </si>
  <si>
    <t>Распространение лучших практик</t>
  </si>
  <si>
    <t>Повышение уровня физической доступности объектов социальной инфраструктуры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</si>
  <si>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</t>
  </si>
  <si>
    <t>Поддержка общественных организаций инвалидов</t>
  </si>
  <si>
    <t>Улусный конкурс «Лучший класс года»</t>
  </si>
  <si>
    <t>Информационно-наглядные материалы по профилактике безнадзорности и правонарушений несовершеннолетних (социальные видеоролики, баннеры, буклеты итд)</t>
  </si>
  <si>
    <t>Мероприятия, направленные на профилактику правонарушений и безнадзорности несовершеннолетних</t>
  </si>
  <si>
    <t xml:space="preserve">Мероприятия, направленные на снижение семейного неблагополучия </t>
  </si>
  <si>
    <t>Информационно-наглядные материалы по профилактике преступлений, ДТП, пропаганде ЗОЖ (социальные видеоролики, баннеры, буклеты итд)</t>
  </si>
  <si>
    <t>Мероприятия, направленные на профилактику правонарушений и преступности</t>
  </si>
  <si>
    <t>Формирование единого пространства электронного взаимодействия органов гос власти и органов местного самоуправления, и повышение качества предоставления муниципальных услуг на основе использования информационных и телекоммуникационных технологий</t>
  </si>
  <si>
    <t>Управление программой</t>
  </si>
  <si>
    <t>Перевод делопроизводственных процессов в ЕСЭД</t>
  </si>
  <si>
    <t>Приобретение и сопровождение сертифицированного программного обеспечения для организации защищенного обмена информациейАнтивирус Dr-Web</t>
  </si>
  <si>
    <t>Прирбретение жесткого диска сервера  категории  HDD</t>
  </si>
  <si>
    <t>Обеспечение наибольшей открытости информации об органах мест самоупр МР Горный улус и о деят ОМСУ, формирование позитивного имиджа ОМСУ</t>
  </si>
  <si>
    <t>Оказание информационных услуг по подготовке, размещению материалов (сюжетов, телепередач, репортажей, роликов, объявлений), освещающих вопросы деятельности Администрации МР “Горный улус»</t>
  </si>
  <si>
    <t>Оказание услуг по размещению в печатном издании муниципальных правовых актов, подлежащих официальному опубликованию, объявлений, некрологов, соболезнований, информационных материалов администрации муниципального района «Горный улус»</t>
  </si>
  <si>
    <t>Публикация объявлений, некрологов, соболезнований в республиканских газетах, изготовление  и показ роликов,  объявлений на республиканском телерадиовещании НВК «Саха»</t>
  </si>
  <si>
    <t>Освещение деятельности МР «Горный улус» в радиоэфире на радиоканале «Дабаан»</t>
  </si>
  <si>
    <t>Изготовление имиджевого видеоролика о Горном улусе</t>
  </si>
  <si>
    <t>Изготовление информационных стендов, баннеров</t>
  </si>
  <si>
    <t>Подготовка и издание сборника НПА "Муниципальный вестник"</t>
  </si>
  <si>
    <t>Оплата фотоуслуги</t>
  </si>
  <si>
    <t>Улусный конкурс для СМИ, общественных корреспондентов</t>
  </si>
  <si>
    <t>МП «Развитие предпринимательства и туризма в Горном улусе на 2020-2024 годы»</t>
  </si>
  <si>
    <t>Развитие предпринимательства</t>
  </si>
  <si>
    <t>Предоставление микрозаймов субъектам малого предпринимательства на срок до трех лет</t>
  </si>
  <si>
    <t xml:space="preserve"> Популяризация предпринимательства, формирование положительного образа предпринимателя</t>
  </si>
  <si>
    <t>Руководство и управление в сфере установленныхфункций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</si>
  <si>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</si>
  <si>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Укрепление материально-технической базы и оснащения кабинета, ТО и страховые выплаты автомобиля, ГСМ</t>
  </si>
  <si>
    <t>Развитие массового спорта</t>
  </si>
  <si>
    <t>Проведение спортивно-массовых мероприятий</t>
  </si>
  <si>
    <t>Участие на официальных Республиканских, Всероссийских и международных соревнованиях</t>
  </si>
  <si>
    <t>Развитие национальных видов спорта</t>
  </si>
  <si>
    <t>Проведение спортивно-массовых мероприятий по национальным видам спорта</t>
  </si>
  <si>
    <t>Подготовка и участие сборной команды Горного улуса на Спартакиаде по национальным видам спорта</t>
  </si>
  <si>
    <t>Развитие адаптивной физкультуры и спорта для лиц с ОВЗ</t>
  </si>
  <si>
    <t>Проведение спортивно-массовых мероприятий адаптивного спорта</t>
  </si>
  <si>
    <t>Развитие спорта высших достижений</t>
  </si>
  <si>
    <t>Стимулирование спортсменов, денежные выплаты для учебно-тренировочного процесса и участия на соревнованиях</t>
  </si>
  <si>
    <t>Денежные вознаграждения спортсменам, достигших высоких результатов</t>
  </si>
  <si>
    <t>Поддержка деятельности Горного филиала ГБУ РС (Я)"ЦСППМ РС (Я)"</t>
  </si>
  <si>
    <t>Улусный конкурс среди команд молодых специалистов "Молодой специалист"</t>
  </si>
  <si>
    <t>Молодежь Горного в промышленность</t>
  </si>
  <si>
    <t>Поддержка молодежных общественных объединений, молодых специалистов</t>
  </si>
  <si>
    <t>Конкурс субсидии на поддержку молодежных некоммерческих организаций</t>
  </si>
  <si>
    <t>Подготовка и повышение квалификаций молодых специалистов. Курсы повышения квалификации специалистов по молодежной политике</t>
  </si>
  <si>
    <t>Поддержка мероприятий молодежных общественных объединений Горного улуса</t>
  </si>
  <si>
    <t>Поддержка одаренной молодежи (стимулирование творческой, талантливой молодежи и спортсменов)</t>
  </si>
  <si>
    <t>Стимулирование молодежи добившейся высоких результатов  за научно-исследовательскую деятельность</t>
  </si>
  <si>
    <t>Учреждение ежегодной единовременной стипендии имени С.П. Данилова  лучшим студентам Горного улуса</t>
  </si>
  <si>
    <t>Молодежные образовательные площадки</t>
  </si>
  <si>
    <t>Участие молодежи в республиканских мероприятиях (Фестиваль молодежи "ТАБЫС", образовательный форум "Синергия севера", образовательный форум "Территория добра", республиканский бал молодежи)</t>
  </si>
  <si>
    <t>Поддержка молодых семей</t>
  </si>
  <si>
    <t>Ежегодный улусный семейный форум "Семья - опора счастья" (вручение жилищных сертификатов участникам ОЖМС)</t>
  </si>
  <si>
    <t>Конкурс на предоставление  субсидий из бюджета муниципального района "Горный улус» Республики Саха (Якутия) на реализацию мероприятий, направленных патриотическому воспитанию молодежи</t>
  </si>
  <si>
    <t>Улусный  конкурс на предоставление грантов для реализации добровольческих проектов  (поддержка социально-ориентированных проектов молодежных и добровольческих организаций)</t>
  </si>
  <si>
    <t>Улусный фестиваль достижений: премия за патриотизм "Модун санаа" номинация "Доброволец Горного улуса", номинация "Лучшая молодежная инициатива"</t>
  </si>
  <si>
    <t>Поддержка военно-патриотических клубов и объединений</t>
  </si>
  <si>
    <t>Молодежные акции (Дни единых действий посвященные Году памяти и славы в РФ и Году Патриотизма в РС (Я), молодежный челлендж "Вперед к Играм Манчаары")</t>
  </si>
  <si>
    <t>Торжественное открытие Года памяти и славы и Года патриотизма в Горном улусе</t>
  </si>
  <si>
    <t>Торжественное встреча ветеранов боевых действий</t>
  </si>
  <si>
    <t>Образовательный семинар по обмену опыта молодежи Горного,Чурапчинского, Мегино-Кангаласского улусов</t>
  </si>
  <si>
    <t>Улусный образовательный форум для добровольческих и молодежных общественных организаций улуса (развитие добровольческого движения)</t>
  </si>
  <si>
    <t>Поощрение волонтеров Всероссийской акции "Мы вместе"</t>
  </si>
  <si>
    <t>Реализация проекта "Межрегиональная добровольческая инициатива (конкурс Росмолодежь)"</t>
  </si>
  <si>
    <t>Остатки</t>
  </si>
  <si>
    <t>Денежное вознаграждение премии и стипендии главы лучшим студентам и учащимся</t>
  </si>
  <si>
    <t>Ликвидация несанкционированных мест размещения отходов на территории МР «Горный улус»</t>
  </si>
  <si>
    <t xml:space="preserve"> Экологическое просвещение и информация</t>
  </si>
  <si>
    <t>Выпуск и изготовление рекламно-информационных материалов: буклеты, плакаты баннеры</t>
  </si>
  <si>
    <t>Организация постоянных теле-радиопередач, радиопередач, рекламных роликов, специальных полос в улусной газете</t>
  </si>
  <si>
    <t>Организация и проведение экологической акции «Природа и мы»</t>
  </si>
  <si>
    <t>Управление муниципальным имуществом</t>
  </si>
  <si>
    <t>Формирование, учет и мониторинг муниципальной собственности</t>
  </si>
  <si>
    <t>Формирование муниципальной собственности на объекты капитального строительства (техническая инвентаризация)</t>
  </si>
  <si>
    <t>Учет муниципального имущества, в том числе проведение оценочных работ</t>
  </si>
  <si>
    <t>Страхование объектов, находящихся в казне</t>
  </si>
  <si>
    <t>Учет муниципального имущеста, приобретение недвижимого имущеста</t>
  </si>
  <si>
    <t>Управление земельными ресурсами</t>
  </si>
  <si>
    <t>Формирование  муниципальной собственности на землю</t>
  </si>
  <si>
    <t>Формирование муниципальной собственности на земельные участки (кадастровые работы)</t>
  </si>
  <si>
    <t>Эффективное управление, владение, пользование и распоряжение земельными участками</t>
  </si>
  <si>
    <t>Обеспечение рационального использования территорий поселений</t>
  </si>
  <si>
    <t>Остаток по контракту №19/17-ЗК от 21.09.2017 г. с ИП Лыткин за кадастровый учет земельных участков с. Асыма</t>
  </si>
  <si>
    <t xml:space="preserve">Оптимизация и повышение эффективности бюджетных расходов  </t>
  </si>
  <si>
    <t>Управление в сфере установленных функций</t>
  </si>
  <si>
    <t>Создание условий для развития информационной среды и технологий, необходимых для управления бюджетным процессом</t>
  </si>
  <si>
    <t>Мероприятия по повышению качества управления финансами</t>
  </si>
  <si>
    <t>Газификация населенных пунктов Горного улуса (проектирование и строительство)</t>
  </si>
  <si>
    <t>Перевод на газовое топливо котельных населенных пунктов Горного улуса</t>
  </si>
  <si>
    <t>Автономная газификация с.Магарас Горного улуса</t>
  </si>
  <si>
    <t>Разработка схем газоснабжения населенных пунктов Горного улуса</t>
  </si>
  <si>
    <t>Газификация новых жилых кварталов в ранее газифицированных населенных пунктах Горного улуса</t>
  </si>
  <si>
    <t>Развитие животноводства</t>
  </si>
  <si>
    <t>Поддержка племенного животноводства</t>
  </si>
  <si>
    <t xml:space="preserve">Приобретение племенных КРС </t>
  </si>
  <si>
    <t>Разведенин якутского скота</t>
  </si>
  <si>
    <t>Поддержка скотоводства</t>
  </si>
  <si>
    <t>Поддержка производства и переработки мясной продукции</t>
  </si>
  <si>
    <t>Поддержка на возмещение затрат производства и переработки продукции скотоводства</t>
  </si>
  <si>
    <t>Поддержка свиноводческих хозяйств</t>
  </si>
  <si>
    <t>Развитие табунного коневодства</t>
  </si>
  <si>
    <t>Поддержка табунного коневодства</t>
  </si>
  <si>
    <t>Финансовое обеспечение (возмещение) части затрат по производству кобыльего молока</t>
  </si>
  <si>
    <t>Поддержание почвенного плодородия</t>
  </si>
  <si>
    <t xml:space="preserve">Внесение минеральных удобрений </t>
  </si>
  <si>
    <t>Повышение урожайности сельскохозяйственных культур</t>
  </si>
  <si>
    <t>Поддержка производства картофеля</t>
  </si>
  <si>
    <t>Поддержка производства овощей открытого грунта</t>
  </si>
  <si>
    <t>Поддержка развития семеноводства</t>
  </si>
  <si>
    <t>Завоз семян</t>
  </si>
  <si>
    <t>Мероприятия по улучшению кормовой базы</t>
  </si>
  <si>
    <t>Развитие Кормопроизводства</t>
  </si>
  <si>
    <t>Приобретение сельскохозяйственной техники</t>
  </si>
  <si>
    <t>Финансовое обеспечение (возмещение) затрат на строительство изгороди</t>
  </si>
  <si>
    <t>Строительство силосных ям, восстановление заброшенных пашен</t>
  </si>
  <si>
    <t>Коренное улучшение лугов, поверхностное улучшение лугов (Приобретение семян под посев кормовых культур)</t>
  </si>
  <si>
    <t>Строительство и модернизация животноводческих объектов, совершенствование технологии производства продукции животноводства</t>
  </si>
  <si>
    <t>Строительство коровников</t>
  </si>
  <si>
    <t>Развитие традиционных отраслей Севера</t>
  </si>
  <si>
    <t>Поддержка северного оленеводства</t>
  </si>
  <si>
    <t>Создание условий труда для оленеводческих бригад</t>
  </si>
  <si>
    <t>Стимулирование увеличения поголовья оленей</t>
  </si>
  <si>
    <t>Стимулирование отрасли звероводства</t>
  </si>
  <si>
    <t>Финансовое обеспечение (возмещение) затрат по содержанию звероводческих хозяйств</t>
  </si>
  <si>
    <t>Регулирование численности волков</t>
  </si>
  <si>
    <t>Финансовое обеспечение (возмещение) затрат на регулирование численности волков</t>
  </si>
  <si>
    <t>Содержание МКУ "УСХ МР "Горный улус"</t>
  </si>
  <si>
    <t>Содержание муниципального учреждения</t>
  </si>
  <si>
    <t>Фонд оплаты труда специалистов с отчислениями</t>
  </si>
  <si>
    <t>Налоги</t>
  </si>
  <si>
    <t>Обеспечивающая подпрограмма</t>
  </si>
  <si>
    <t>Расходы на обеспечение деятельности (оказание услуг) муниципальных учреждений</t>
  </si>
  <si>
    <t>Расходы на осуществление функций психолого-медико-педагогической комиссии</t>
  </si>
  <si>
    <t>Расходы на осуществление деятельности штаба "Абитуриент"</t>
  </si>
  <si>
    <t>Совершенствование общего образования</t>
  </si>
  <si>
    <t>Создание условий для развития дошкольного образования в соответствии с федеральными государственными стандартами дошкольного образования</t>
  </si>
  <si>
    <t>Целевые расходы на возмещение расходов связанных с проездом в отпуск</t>
  </si>
  <si>
    <t>Целевые субсидии на содержание имущества (поверка приборов учета)</t>
  </si>
  <si>
    <t>Целевые субсидии на оплату выходного пособия</t>
  </si>
  <si>
    <t>Целевые субсидии на мероприятия по предупреждению распространения новой коронавирусной инфекции (COVID-19)</t>
  </si>
  <si>
    <t>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</t>
  </si>
  <si>
    <t>Выплата компенсации в части родительской платы  за содержание ребенка в образовательных организациях, реализующих основную общеобразовательную программу дошкольного образования</t>
  </si>
  <si>
    <t>Создание условий для обеспечения качественного общего образования в соответствии с федеральными государственными образовательными стандартами общего образования</t>
  </si>
  <si>
    <t>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</t>
  </si>
  <si>
    <t>Целевые субсидии на проведение ГИА</t>
  </si>
  <si>
    <t>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</si>
  <si>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</si>
  <si>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Учреждение серебряных знаков отличия выпускникам школ </t>
  </si>
  <si>
    <t xml:space="preserve">Поощрение выпускников, окончивших общеобразовательные учреждения "золотой медалью" </t>
  </si>
  <si>
    <t>Поощрение выпускников школ, получивших более 90 баллов по итогам сдачи ЕГЭ</t>
  </si>
  <si>
    <t>Тимофеевская премия лучшим обучающимся по итогам года</t>
  </si>
  <si>
    <t>Реализация федерального проекта "Современная школа" в рамках национального проекта "Образование"</t>
  </si>
  <si>
    <t>Реализация проекта "Современная школа" национального проекта "Образование"</t>
  </si>
  <si>
    <t>Воспитание и дополнительное образование детей</t>
  </si>
  <si>
    <t>Обеспечение доступного дополнительного образования детей</t>
  </si>
  <si>
    <t>Аренда ДЮСШ</t>
  </si>
  <si>
    <t>Совершенствование содержания образовательных программ дополнительного образования детей</t>
  </si>
  <si>
    <t>Развитие системы поддержки талантливых и инициативных детей</t>
  </si>
  <si>
    <t xml:space="preserve">Моя профессия IT </t>
  </si>
  <si>
    <t>Организация и проведение улусных конкурсов World Skills</t>
  </si>
  <si>
    <t>Улусный конкурс "Юный новатор"</t>
  </si>
  <si>
    <t xml:space="preserve">Организация и проведение улусного конкурса "Горный кэскиллэрэ" </t>
  </si>
  <si>
    <t>Создание условий, обеспечивающих доступность дополнительных общеобразовательных программ естесственно-научной и технической направленности</t>
  </si>
  <si>
    <t>Улусный конкурс социальных проектов на Грант Главы улуса</t>
  </si>
  <si>
    <t>Комплексная спартакиада учреждений "Манчаары сиэннэрэ"</t>
  </si>
  <si>
    <t>Поощрение обучающихся достигших наилучших результатов в учебе, спорте и искусстве по итогам года</t>
  </si>
  <si>
    <t>Поощрение лучшего дошкольного образовательного учреждения по итогам года</t>
  </si>
  <si>
    <t>Поощрение лучшего  общеобразовательного учреждения по итогам года</t>
  </si>
  <si>
    <t>Оснащение спортинвентарем и спортивным оборудованием образовательных организаций</t>
  </si>
  <si>
    <t>Повышение профессионального мастерства кадров</t>
  </si>
  <si>
    <t>Повышение профессионального уровня педагогических и руководящих кадров</t>
  </si>
  <si>
    <t xml:space="preserve">Совершенствование педагогического образования, подготовка и переподготовка кадров </t>
  </si>
  <si>
    <t>Реализация федерального проекта "Учитель будущего" в рамках национального проекта "Образование"</t>
  </si>
  <si>
    <t>Подготовка кадров в сфере образования</t>
  </si>
  <si>
    <t>Поддержка педагогических работников</t>
  </si>
  <si>
    <t>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</si>
  <si>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Отдых и оздоровление детей</t>
  </si>
  <si>
    <t>Обеспечение организации отдыха, оздоровления и занятости детей в каникулярное время</t>
  </si>
  <si>
    <t>Совершенствование деятельности по организации и обеспечению полноценного (качественного) отдыха и оздоровления детей</t>
  </si>
  <si>
    <t xml:space="preserve">Организация отдыха детей в каникулярное время </t>
  </si>
  <si>
    <t>Расширение сети стационарных лагерей и их материально-технической базы</t>
  </si>
  <si>
    <t xml:space="preserve">Создание условий для развития инфраструктуры системы образования улуса </t>
  </si>
  <si>
    <t>Строительство, приобретение, реконструкция и ремонт объектов образования</t>
  </si>
  <si>
    <t>Строительство, приобретение, реконструкция, обновление объектов образования</t>
  </si>
  <si>
    <t>Софинансирование строительства объекта "Школа на 550 учащихся в с.Бердигестях" в рамках муниципально-частного партнерства</t>
  </si>
  <si>
    <t>Строительство детского сада на 98 мест в с.Бердигестях</t>
  </si>
  <si>
    <t>Строительство навесов, умывальников, душевых, туалетов в рамках подготовки к Играм Манчаары</t>
  </si>
  <si>
    <t>Обновление технологического оборудования пищеблоков образовательных учреждений</t>
  </si>
  <si>
    <t>Разработка и экспертиза ПСД</t>
  </si>
  <si>
    <t>Разработка проектно-сметной документации детского сада на 140 мест в с.Бердигестях</t>
  </si>
  <si>
    <t>Разработка проектно-сметной документации детского сада на 50 мест в с. Дикимдя</t>
  </si>
  <si>
    <t>Проведение государственной экспертизы детского сада на 50 мест в с.Дикимдя</t>
  </si>
  <si>
    <t>Корректировка проектно-сметной документации объекта "Детский эстетический центр"</t>
  </si>
  <si>
    <t>Капитальный ремонт объектов образования, находящихся в муниципальной собственности</t>
  </si>
  <si>
    <t>Ремонт образовательных учреждений</t>
  </si>
  <si>
    <t>Капитальный ремонт мастерской МБОУ "Кептинская СОШ"</t>
  </si>
  <si>
    <t>Благоустройство МБДОУ "Айылгы" с.Кюерелях</t>
  </si>
  <si>
    <t>Создание в МБОУ "Магарасская СОШ им.Л.Н.Харитонова" условий для занятия физической культурой и спортом (ремонт спортзала)</t>
  </si>
  <si>
    <t>Ремонт спортивного зала МБОУ "Магарасская СОШ им.Л.Н.Харитонова"</t>
  </si>
  <si>
    <t>Ремонт пищеблока МБОУ "БСОШ им.С.П.Данилова"</t>
  </si>
  <si>
    <t>Обеспечение безопасности образовательных учреждений</t>
  </si>
  <si>
    <t xml:space="preserve">Материально-техническое обеспечение образовательных учреждений для обеспечения санитарно-эпидемиологической безопасности  </t>
  </si>
  <si>
    <t xml:space="preserve">Материально-техническое обеспечение образовательных учреждений для обеспечения пожарной безопасности </t>
  </si>
  <si>
    <t xml:space="preserve">Материально-техническое обеспечение образовательных учреждений для обеспечения антитеррористической безопасности </t>
  </si>
  <si>
    <t>МП«Создание условий для духовно-культурного развития граждан Горного улуса на 2020-2024 годы»</t>
  </si>
  <si>
    <t>Руководство и управление в сфере культуры</t>
  </si>
  <si>
    <t>Укрепление ресурсов учреждений культуры</t>
  </si>
  <si>
    <t>Повышение квалификации и переподготовка кадров работников учреждений культуры</t>
  </si>
  <si>
    <t>Обеспечение пожарной безопасности на объектах культуры</t>
  </si>
  <si>
    <t xml:space="preserve">Укрепление МТБ </t>
  </si>
  <si>
    <t>Изготовление удостоверений и знаков</t>
  </si>
  <si>
    <t>Грантовая деятельность</t>
  </si>
  <si>
    <t>Развитие народного творчества и культурно - досуговой деятельности Горного улуса</t>
  </si>
  <si>
    <t xml:space="preserve"> Предоставление муниципальных услуг культурно-досуговыми учреждениями культуры</t>
  </si>
  <si>
    <t>Предоставление муниципальных услуг культурно-досуговыми учреждениями культуры</t>
  </si>
  <si>
    <t>Целевые субсидии на иные цели (кроме строительства и кап.ремонта)</t>
  </si>
  <si>
    <t xml:space="preserve"> Строительство и капитальный ремонт объектов культурно-досуговых учреждений</t>
  </si>
  <si>
    <t>Строительство</t>
  </si>
  <si>
    <t>Капитальный ремонт</t>
  </si>
  <si>
    <t>Республиканские, улусные мероприятия</t>
  </si>
  <si>
    <t>Мероприятия</t>
  </si>
  <si>
    <t xml:space="preserve">  Проведение улусного национального праздника Ысыах.</t>
  </si>
  <si>
    <t>Развитие  библиотечного дела в Горном улусе</t>
  </si>
  <si>
    <t>Предоставление муниципальных услуг библиотечными учреждениями культуры</t>
  </si>
  <si>
    <t xml:space="preserve"> Развитие библиотечного фонда и библиотечного обслуживания</t>
  </si>
  <si>
    <t>Издание книг</t>
  </si>
  <si>
    <t>Приобретение программного обеспечения для создания электронной библиотеки</t>
  </si>
  <si>
    <t xml:space="preserve"> Республиканские, улусные мероприятия.</t>
  </si>
  <si>
    <t>Мероприятия улусные и республиканские</t>
  </si>
  <si>
    <t xml:space="preserve"> Создание и развитие инфраструктуры на сельских территориях</t>
  </si>
  <si>
    <t xml:space="preserve"> Современный облик сельских территорий </t>
  </si>
  <si>
    <t>Реализация проектов комплексного развития сельских территорий (сельских агломераций)(объекты капитального строительства)</t>
  </si>
  <si>
    <t>Канализационно-очистного сооружения производительностью 300 м3/сутки в с.Бердигестях Горного улуса РС(Я)</t>
  </si>
  <si>
    <t>Всего</t>
  </si>
  <si>
    <t>Информация</t>
  </si>
  <si>
    <t>N</t>
  </si>
  <si>
    <t>Наименование муниципальной программы (в разрезе мероприятий)</t>
  </si>
  <si>
    <t>Уточненный годовой план в соответствии с показателями сводной бюджетной росписи</t>
  </si>
  <si>
    <t>Исполнено за отчетный период</t>
  </si>
  <si>
    <t>% исполнения</t>
  </si>
  <si>
    <t>остаток</t>
  </si>
  <si>
    <t>Примечание (указать причины неисполнения)</t>
  </si>
  <si>
    <t>Ответственный за составление формы</t>
  </si>
  <si>
    <t>МП"Старшее поколение в Горном улусе на 2020-2024 годы"</t>
  </si>
  <si>
    <t>ОСП (Гуляева Н.Р.)</t>
  </si>
  <si>
    <t>Денежные выплаты участникам ВОВ, вдовам в связи с празднованием Дня Победы</t>
  </si>
  <si>
    <t>ОСП (Семенов С.С.)</t>
  </si>
  <si>
    <t>заработная плата</t>
  </si>
  <si>
    <t>В связи с Ковид-19 мероприятие отменено, законтрактован ГСМ</t>
  </si>
  <si>
    <t>МП«Профилактика правонарушений в Горном улусе на 2020-2024 годы»</t>
  </si>
  <si>
    <t>ОСП (Хихлун М.Г.)</t>
  </si>
  <si>
    <t>Доступная среда</t>
  </si>
  <si>
    <t>исполнен</t>
  </si>
  <si>
    <t>ОСП (Туралысова С.)</t>
  </si>
  <si>
    <t>Встреча с выпускниками СВФУ по вопросам трудоустройства</t>
  </si>
  <si>
    <t>Организация работы со студентами, уроженцами Горного улуса в г.Якутске и центральных городах РФ</t>
  </si>
  <si>
    <t>Постановлением Главы МР «Горный улус» от 28 сентября 2020 года №160/01-01 внесены изменения</t>
  </si>
  <si>
    <t xml:space="preserve">Постановлением Главы МР «Горный улус» от 1 июня 2020 года №97/01-01 внесены изменения в муниципальную программу.Средства направлены в резервный фонд МР «Горный улус» </t>
  </si>
  <si>
    <t>УФКиС Александров А.А.)</t>
  </si>
  <si>
    <t>Руководство и управление в сфере установленных функций</t>
  </si>
  <si>
    <t>Формирование, учет и мониторинг муниципальной собственности (тех.инвентаризация)</t>
  </si>
  <si>
    <t>Акт сноса аварийных объектов</t>
  </si>
  <si>
    <t>Уточнение границ сооружения (газового трубопровода с. Асыма)</t>
  </si>
  <si>
    <t>Договор с ООО "Интелдок" на сумму 3 тыс.руб. (оценка УАЗ). Будет проводиться оценка имущества, выставляемого на торги (в т.ч. ЗУ)</t>
  </si>
  <si>
    <t>Страхование объектов, находящихся в казне МР "Горный улус"</t>
  </si>
  <si>
    <t>Учет муниципального имущества, приобретение недвижимого имущества</t>
  </si>
  <si>
    <t>Заявлений по продаже ЗУ с/х назначения не поступило, в связи с этим провели передвижку финансовых средств.</t>
  </si>
  <si>
    <t>Заключено соглашение с МО "Маганинский наслег" №3 от 03.04.20 по передаче полномочий заказчика ККР, финансовые средства перечислены в бюджет МО "Маганинский наслег"</t>
  </si>
  <si>
    <t>Заключено доп.соглашение по расторжению контракта с ИП Лыткиным. Сумму 90 тыс.руб. планируем использовать для оформления дороги Орто-Сурт - Кептин</t>
  </si>
  <si>
    <t>Акция раздельный мусор</t>
  </si>
  <si>
    <t xml:space="preserve">Приобретение урны для раздельного мусора </t>
  </si>
  <si>
    <t>Ликвидация несанкционированной свалки</t>
  </si>
  <si>
    <t>Посадка деревьев, кустарников, цветов</t>
  </si>
  <si>
    <t>Акция "Экодвор"</t>
  </si>
  <si>
    <t>Изготовление буклетов</t>
  </si>
  <si>
    <t xml:space="preserve"> Изготовление передачи</t>
  </si>
  <si>
    <t xml:space="preserve"> Спецвыпуск "Улэ кууьэ"</t>
  </si>
  <si>
    <t>Улусное соревнование "Байанай", призы (март)</t>
  </si>
  <si>
    <t>Снят на мероприятия по профилактике Covid</t>
  </si>
  <si>
    <t>Международный день птиц, призы (март-апрель)</t>
  </si>
  <si>
    <t>Всемирный день водных ресурсов (День воды), призы (март)</t>
  </si>
  <si>
    <t>Марш парков, призы (апрель)</t>
  </si>
  <si>
    <t>Всемирный день Земли, призы (апрель)</t>
  </si>
  <si>
    <t>День экологического образования, призы (апрель)</t>
  </si>
  <si>
    <t>День Подснежника в Якутии, призы (май)</t>
  </si>
  <si>
    <t>День реки Лена, призы (июль)</t>
  </si>
  <si>
    <t>День Эколога, призы (июнь)</t>
  </si>
  <si>
    <t>День Сардааны в Якутии, призы (июнь)</t>
  </si>
  <si>
    <t>Организация Экологического лагеря в РР "Харыйалахский", призы (август)</t>
  </si>
  <si>
    <t>ОПО (Санникова А.Н.)</t>
  </si>
  <si>
    <t>УЭР (Максимова М.В.)</t>
  </si>
  <si>
    <t>Популяризация предпринимательства, формирование положительного образа предпринимателя</t>
  </si>
  <si>
    <t>денежные средства сняты и перечислены в резервный фонд 50т.рб.</t>
  </si>
  <si>
    <t>МКУ УК (Кесарева Т.Н.)</t>
  </si>
  <si>
    <t>Грант Главы "Лучшее учреждение культуры МО" 2020г. (МТБ - костюмы на Манчаары)</t>
  </si>
  <si>
    <t>Грант Главы "Лучшее учреждение культуры улусного центра" 2020г.</t>
  </si>
  <si>
    <t>Грант Главы на поддержку проектной деятельности учреждений культуры</t>
  </si>
  <si>
    <r>
      <t xml:space="preserve"> П</t>
    </r>
    <r>
      <rPr>
        <i/>
        <sz val="12"/>
        <color indexed="8"/>
        <rFont val="Times New Roman"/>
        <family val="1"/>
        <charset val="204"/>
      </rPr>
      <t>редоставление муниципальных услуг культурно-досуговыми учреждениями культуры</t>
    </r>
  </si>
  <si>
    <t>Строительство и капитальный ремонт объектов культурно-досуговых учреждений</t>
  </si>
  <si>
    <t>Строительство Урасы главы</t>
  </si>
  <si>
    <t>Ремонт кровли  Центра Духовности им. Семена и Софрона Даниловых</t>
  </si>
  <si>
    <t>Модернизация клубных учреждений культуры, укрепление МТБ</t>
  </si>
  <si>
    <t>Мероприятия 9 мая к 75-летию</t>
  </si>
  <si>
    <t>Исключен. Распоряжение №1103/01-02 от 16/IX-20 "О резервном фонде МР "Горный улус" на 2020 г.</t>
  </si>
  <si>
    <t>Агитдесант "Культура села на встречу играм Манчаары" в поселениях улуса</t>
  </si>
  <si>
    <t>Национальный праздник "Ысыах"</t>
  </si>
  <si>
    <t>Средства в сумме 466,0 т.р перемещены в МКУ «ДЕЗ» на ремонт Центра Духовности. Решение Улусного совета от 18 июня 2020г.</t>
  </si>
  <si>
    <t>Улусный фестиваль среди МО Горного улуса "Вечная память Победы" к 75-летию Победы ВОВ</t>
  </si>
  <si>
    <t>НПК "Уйэлэри ситимнээбит олонхоьут", мунха, конкурс рисунков, конкурс исполнителей олонхо в честь 120-летия со дня рождения олонхосута С.Г.Алексеева-Уустарабыс</t>
  </si>
  <si>
    <t>Зочный республиканский конкурс краткометражных  фильмов "Манчаары - герой современности"</t>
  </si>
  <si>
    <t xml:space="preserve">Исключен. Согласно распоряжения Главы МР «Горный улус» от 15.05.2020г. №625/01-02 «О резервном фонде МР «Горный улус» на 2020г»   произведено перемещение бюджетных средств на пополнение резервного фонда МР «Горный улус» (COVID-19) </t>
  </si>
  <si>
    <t>VI открытый республиканский конкурс женских вокальных ансамблей "Ырыа дууьам иэйиитэ", посвященный 75-летию ВОВ</t>
  </si>
  <si>
    <t xml:space="preserve">Открытый республиканский конкурс модельеров «Лоокуут уонна Ньургуьун» </t>
  </si>
  <si>
    <t>Открытый республиканский конкурс-пленэр "Бор кемус киистэтэ"</t>
  </si>
  <si>
    <t>Открытый республиканский смотр - конкурс музыкальных спектаклей среди ДШИ республики</t>
  </si>
  <si>
    <t>Улусный смотр - конкурс  "Ат симэ5э" к Играм Манчаары</t>
  </si>
  <si>
    <t>Юбилейные мероприятия деятелей культуры и искусства: Егоров И.Н. - Иван Горнай, Григорьев П.Д.-Тайман Дьуугэ, Александров Г.И., Павлов Ф.Ф., Варламова М.И., Данилов Григорий Иванович, Егоров М.С., Алексеев С.Г.-Уустарабыс, Тарасова М.Г. - Сэбиэт Маарыйа    100,0</t>
  </si>
  <si>
    <t>Сумма уменьшена до 100,0 тр (Александров Г.И., Варламова М.И., Павлов Ф.Ф., Тарасова М.Г.). 80,0 т.р на резервный фонд МР «Горный улус» (COVID-19)</t>
  </si>
  <si>
    <t>Торжественное мероприятие "Обратный отсчет XXI Игр Манчаары" 22 февраля 2020 г.</t>
  </si>
  <si>
    <t>Развитие библиотечного фонда и библиотечного обслуживания</t>
  </si>
  <si>
    <t xml:space="preserve">1. Николаев В.И. -  50,0; 2. Осипова Л.А.- 10,0; 3. «Чыпчаал» - 80,0;    4. Максимова А.Н. - 10,0; 5. Тарасов А.А. - 20,0; 6.Варламов Н.П. - 10,0; 7. Гоголев М.П. - 15,0; 8.  Харлампьева Н.И. - 297,0; 9. Каркавин В.Ф. - 482,7; 10. Алексеев В.И. - 200,0; 11. Николаев В.И. - 57,5; 12. Николаев В.И. - 143,605       </t>
  </si>
  <si>
    <t xml:space="preserve"> Республиканские, улусные мероприятия</t>
  </si>
  <si>
    <t xml:space="preserve">Традиционный конкурс ораторов "Аман ес" </t>
  </si>
  <si>
    <t>Стратегическое направление  "Развитие музейного дела в Горном улусе"</t>
  </si>
  <si>
    <t>Выставка об истории развития Горного улуса к 100-летию Автономии Якутии</t>
  </si>
  <si>
    <t>МКУ УСХ (Дьяконов В.Н.)</t>
  </si>
  <si>
    <t>УАиС (Дьяконов Н.В.)</t>
  </si>
  <si>
    <t>На разработку генерального плана МО "Бердигестяхский наслег" оформление перевода земли из лесного фонда в земли населенного пункта (3 этап)</t>
  </si>
  <si>
    <t xml:space="preserve">на разработку генерального плана МО "Атамайский наслег" </t>
  </si>
  <si>
    <t>Раработка правил землепользования и застройки МО "Малтанинский наслег" Горного улуса Республики Саха (Якутия)</t>
  </si>
  <si>
    <t>Содержание полигона ЖБО</t>
  </si>
  <si>
    <t>Ликвидация несанкционированной свалки на территории села Бердигестях</t>
  </si>
  <si>
    <t>МКУ ДЕЗ (Протопопов А.В.)</t>
  </si>
  <si>
    <t>Содержание муниципальных автодорог</t>
  </si>
  <si>
    <t>Рубка и расчистка леса для видимости муниципальных автодорог Орто-Кептин, Дикимдя-Ерт</t>
  </si>
  <si>
    <t>Выполнено передвижка на поставку труб для ремонта автомобильной дороги Орто-Сурт - Кептин</t>
  </si>
  <si>
    <t>Содержание на уборку моста "Заречный" с.Бердигестях</t>
  </si>
  <si>
    <t xml:space="preserve">Поставка труб для ремонта а/д Орто-Сурт-Кептин </t>
  </si>
  <si>
    <t>Ремонт мостовых переходов и инженерных сооружений на муниципальных автодорогах Орто-Кептин, Бердигестях-Ерт</t>
  </si>
  <si>
    <t xml:space="preserve">Разработка сметной стоим объема работ а/д Орто-Сурт-Кептин, Бердигестях-Ерт </t>
  </si>
  <si>
    <t>Софинансирование Ремонт муниципальной автомобильной дороги "Орто-Сурт - Кептин" и "Бердигестях-Ерт"</t>
  </si>
  <si>
    <t>Софинансирование на проектирование  муниципальной автодорог "Орто-сурт - Кептин Горного улуса РС(Я)" с протяженностью 13,5 км.</t>
  </si>
  <si>
    <t>Заключен контракт на разработку ПИР с ООО "Геопроект", ведутся проектные работы, срок завершения работ март 2021 года</t>
  </si>
  <si>
    <t>Софинансирование на строительство муниципальной автодорог "Орто-сурт - Кептин Горного улуса РС(Я)" протяженностью 2 км.</t>
  </si>
  <si>
    <t>Оплата по контракту №25/19-ЭА от 16.06.2019 по объекту "Строительство автомобильной дороги Орто-Сурт - Кептин Горного улуса</t>
  </si>
  <si>
    <t>Ремонт автомобильной дороги Орто-Сурт - Кептин Горного улуса РС(Я)</t>
  </si>
  <si>
    <t>Ремонт муниципальных автодорог Бердигестях-Ерт</t>
  </si>
  <si>
    <t xml:space="preserve">По итогам конкурса определена подрядная оргнизация ООО "Амгор", срок выполнения ремонтных работ до 31.12.2020 года, работы завершены, оплата произведена </t>
  </si>
  <si>
    <t>ФКУ (Захарова Н.С.)</t>
  </si>
  <si>
    <t>Создание и развитие инфраструктуры на сельских территориях</t>
  </si>
  <si>
    <t>МКУ УО (Сметанина В.И.)</t>
  </si>
  <si>
    <t>Поощрение обучающихся в зависимости от их результатов и достижений в различных направлениях деятельности в течении года</t>
  </si>
  <si>
    <t>Оснащение базы ЛТО "Солнышко" МБОУ Джикимдинская СОШ, "Сокол" Кировская СОШ (мягкий инвентарь, титан, холодильник, ремонт, требования РПН)</t>
  </si>
  <si>
    <t>Софинансирование строительства объекта "Школа на 550 учащихся в с.Бердигестях"</t>
  </si>
  <si>
    <t>работы полностью не завершены: ожидаются историко-культурные изыскательные работы и государственная экспертиза проектно-сметной документации</t>
  </si>
  <si>
    <t>% исполнения за 9 мес</t>
  </si>
  <si>
    <t>% исп</t>
  </si>
  <si>
    <t>1. Общие целевые показатели в области энергосбережения и повышения энергетической эффективности</t>
  </si>
  <si>
    <t>Доля объемов ЭЭ, расчеты за которую осуществляются с использованием приборов учета, в общем объеме ЭЭ, потребляемой на территории МО</t>
  </si>
  <si>
    <t>Доля объемов ТЭ, расчеты за которую осуществляются с использованием приборов учета , в общем объеме ТЭ, потребляемой на территории МО</t>
  </si>
  <si>
    <t>Доля объемов  Холодной воды, расчеты за которую осуществляются с использованием приборов учета в общем объеме воды, потребляемой на территории МО</t>
  </si>
  <si>
    <t>Доля объемов  Горячей воды, расчеты за которую осуществляются с использованием приборов учета в общем объеме воды, потребляемой на территории МО</t>
  </si>
  <si>
    <t>Доля объемов природного газа, расчеты за который осуществляются с использованием приборов учета  в общем объеме природного газа, потребляемого на территории МО</t>
  </si>
  <si>
    <t>Доля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МО</t>
  </si>
  <si>
    <t xml:space="preserve">2. Целевые показатели в области энергосбережения и повышения </t>
  </si>
  <si>
    <t>Уд.расход ЭЭ  на снабжение органов местного самоуправления и муниципальных учреждений ( в расчете на 1 кв. метр общей площади)</t>
  </si>
  <si>
    <t>Уд.расход ТЭ  на снабжение органов местного самоуправления и муниципальных учреждений ( в расчете на 1 кв. метр общей площади)</t>
  </si>
  <si>
    <t>Уд.расход Холодной воды  на снабжение органов местного самоуправления и муниципальных учреждений ( в расчете на 1 человека)</t>
  </si>
  <si>
    <t>Уд.расход Горячей воды  на снабжение органов местного самоуправления и муниципальных учреждений ( в расчете на 1 человека)</t>
  </si>
  <si>
    <t>Уд.расход Природного газа  на снабжение органов местного самоуправления и муниципальных учреждений ( в расчете на 1 человека)</t>
  </si>
  <si>
    <t>Отношение экономии энергетических ресурсов и воды в стоймостном выражении, достижение которой планируется в результате реализации энергосервисных договоров (контрактов), заключенных органами местного самоуправления и муниципальными учреждениями к общему объему финансирования муниципальных программ</t>
  </si>
  <si>
    <t>кВтч\кв.м</t>
  </si>
  <si>
    <t>Гкал/кв.м</t>
  </si>
  <si>
    <t>куб.м/  чел.</t>
  </si>
  <si>
    <t xml:space="preserve">3. Целевые показатели в области энергосбережения и повышения </t>
  </si>
  <si>
    <t>Удельный расход ТЭ в МКД (в расчете на 1кв.метр общей площади)</t>
  </si>
  <si>
    <t>Удельный расход Холодной воды в МКД (в расчете на 1 жителя)</t>
  </si>
  <si>
    <t>Удельный расход Горячей  воды в МКД (в расчете на 1 жителя)</t>
  </si>
  <si>
    <t>Удельный расход ЭЭ в МКД (в расчете на 1 кв.метр общей площади)</t>
  </si>
  <si>
    <t>Удельный расход природного газа в МКД с индивидуальными системами газового отопления (в расчете на 1кв.метр общей площади)</t>
  </si>
  <si>
    <t>Удельный расход природного газа в МКД с иными системами теплоснабжения (в расчете на 1 жителя)</t>
  </si>
  <si>
    <t>Удельный сумарный расход энергетических ресурсов в МКД</t>
  </si>
  <si>
    <t>тыс.куб.м/кв.м</t>
  </si>
  <si>
    <t>тыс.куб.м/чел</t>
  </si>
  <si>
    <t>т у.т/кв.м.</t>
  </si>
  <si>
    <t xml:space="preserve">4. Целевые показатели в области энергосбережения и повышения </t>
  </si>
  <si>
    <t>Удельный расход топлива на выработку тепловой энергии на тепловых электростанциях</t>
  </si>
  <si>
    <t>Удельный расход топлива на выработку тепловой энергии на котельных</t>
  </si>
  <si>
    <t>Удельный расход ЭЭ, используемой при передаче тепловой энергии в системах теплоснабжения</t>
  </si>
  <si>
    <t>Доля потерь тепловой энергии при ее передаче в общем объеме переданной тепловой энергии</t>
  </si>
  <si>
    <t>Доля потерь воды при ее передаче в общем объеме переданной воды</t>
  </si>
  <si>
    <t>Удельный расход ЭЭ, используемой для передачи воды в системах водоснабжения (на 1 куб. метр)</t>
  </si>
  <si>
    <t>Удельный расход ЭЭ, используемой в системах водоотведения (на 1 куб. метр)</t>
  </si>
  <si>
    <t>т.у.т. /млн. Гкал</t>
  </si>
  <si>
    <t>г у.т./  Гкал</t>
  </si>
  <si>
    <t>кВтч/куб.м</t>
  </si>
  <si>
    <t>тыс.квВтч/тыс.куб.м</t>
  </si>
  <si>
    <t xml:space="preserve">5. Целевые показатели в области энергосбережения и повышения </t>
  </si>
  <si>
    <t>Удельный расход электрической энергии в системах уличного освещения (на 1кв. Метр освещаемой площади с уровнем освещенности, соответствующим установленным нормативам)</t>
  </si>
  <si>
    <t>кВч/кв.м</t>
  </si>
  <si>
    <t>6. Целевые показатели в области организационных мероприятий по энергосбережению и повышения энергетической эффективности муниципальных учреждений</t>
  </si>
  <si>
    <t>Проведение энергетических обследований и паспортизация зданий муниципальных учреждений</t>
  </si>
  <si>
    <t>Проведение энергосервисных услуг (заключение энергосервисных контрактов)</t>
  </si>
  <si>
    <t>Подключение к газовым сетям объектов муниципальных учреждений</t>
  </si>
  <si>
    <t>В 2020 году финансирование не предусмотрено</t>
  </si>
  <si>
    <t>доб ДМБ</t>
  </si>
  <si>
    <t>Уточнено в бюджете на 2020 год (тыс.руб.)</t>
  </si>
  <si>
    <t>Профилактика+пропаганда ЗОЖ</t>
  </si>
  <si>
    <t>Единовременное денежное вознаграждение молодой семьи за проведение и организацию безалкогольной свадьбы</t>
  </si>
  <si>
    <t>Организация работы со студентами, уроженцев Горного улуса в г.Якутске и центральных городов РФ</t>
  </si>
  <si>
    <t>Учреждение ежегодной единовременной премии  Главы МР "Горный улус" имени М.Е. Тимофеева лучшим учащимся Горного улуса</t>
  </si>
  <si>
    <t>Встреча Главы с выпускниками-медалистами, Елка Главы МР "Горный улус" для учащихся СОШ</t>
  </si>
  <si>
    <t>Комплексный фестиваль молодежи "ВОСТОК" посвященный Году памяти и славы в РФ (по отдельному плану)</t>
  </si>
  <si>
    <t>Переселение из ветхого жилья</t>
  </si>
  <si>
    <t>Содержание</t>
  </si>
  <si>
    <t>Содержание УСХ</t>
  </si>
  <si>
    <t>Торжественная выписка из родильного отделения ЦРБ День матери</t>
  </si>
  <si>
    <t>Прведение мероприятий, на поддержку и стимулирование растениеводства</t>
  </si>
  <si>
    <t>Субсидия на выращивание молодняка КРС</t>
  </si>
  <si>
    <t>Финансовое обеспечение затрат на содержание молодняка КРС на мясо</t>
  </si>
  <si>
    <t>Проведение мероприятий, направленных на поддержку и стимулирование животноводства</t>
  </si>
  <si>
    <t>Модернизация объектов коммунальной инфраструктуры</t>
  </si>
  <si>
    <t>Развитие теплоснабжения</t>
  </si>
  <si>
    <t>Ремонт автодороги свалки</t>
  </si>
  <si>
    <t>На выполнение правил землепользования и завтройки МО "Бердигестяхский наслег"</t>
  </si>
  <si>
    <t>Обеспечение жильем молодых семей</t>
  </si>
  <si>
    <t>Разработка генерального плана МО "Кировский наслег" Горного улуса Республики Саха (Якутия)</t>
  </si>
  <si>
    <t>Корректировка генерального плана  МО "Одунунский наслег" Горного улуса Республики Саха (Якутия)</t>
  </si>
  <si>
    <t>Разработка проекта межевания планировки территории с.Дикимдя  Горного улуса Республики Саха (Якутия)</t>
  </si>
  <si>
    <t>Разработка проекта межевания планировки территории с.Кептин  Горного улуса Республики Саха (Якутия)</t>
  </si>
  <si>
    <t>Разработка генерального плана МО "Шологонский наслег" Горного улуса Республики Саха (Якутия)</t>
  </si>
  <si>
    <t>заложен ФОТ системного администратора</t>
  </si>
  <si>
    <t>Приобретена антивирусная программа Dr-web</t>
  </si>
  <si>
    <t>Контракт заключен с “Сахапечать”. Исполнителем услуги  является редакция газеты “Улэ кууьэ”.</t>
  </si>
  <si>
    <t xml:space="preserve">Исполнено. Заключен Договор о подготовке имиджевого ролика о Горном улусе с ИП Осиповым Е. Проведены рабочие съемки творческой группы в с.Магарас, Бердигестях, Дикимдя. Видеоролик с хронометражем 3 мин. подготовлен </t>
  </si>
  <si>
    <t>Изготовлен баннер “Игры Манчаары» на здании Администрации МР «Горный улус»</t>
  </si>
  <si>
    <t xml:space="preserve">Учреждено периодическое печатное издание органов местного самоуправления муниципального района «Горный улус» «Муниципальный вестник Горного улуса» решением Улусного Совета МР «Горный улус» от 18.06.2020г. №98 Оплта на расходные материалы будет произведено в октябре месяце </t>
  </si>
  <si>
    <t xml:space="preserve">Исполнено. Победителями признаны-6 журналистов </t>
  </si>
  <si>
    <t>Предусмотренное финансирование использовано на приобретение инветаря пожарной безопасности МАУ "Центр Духовности им. С.иС. Даниловых"</t>
  </si>
  <si>
    <t>Заключен договор с ИП "Максим Уус" по изготовлению нагрудных знаков "Народный мастер Горного улуса" в количестве 25 шт. Знаки находятся на стадии полирования и эмалирования.</t>
  </si>
  <si>
    <t>Капитальный ремонт кровли завершен</t>
  </si>
  <si>
    <t xml:space="preserve">Проведен по графику в феврале месяце 2020 г. в 8 наслегах улуса. Всего на мероприятиях Агиткультдесанта приняло участие 1200 взрослых, учащихся и детей дошкольного возраста. </t>
  </si>
  <si>
    <t>Конкурс проведен в мае месяце в заочной форме. Приняло участие 12 коллективов из 7 улусов. Гран-при завоевал театральное-отделение ДШИ им. А.Сазонова Среднеколымского улуса.</t>
  </si>
  <si>
    <t>Мероприятие проведено 22 февраля 2020 г. на площади Победы.</t>
  </si>
  <si>
    <t>Конкурс проведен 13 февраля 2020г. В конкурсе приняли участие  41 учащихся со всех школ улуса.Победителями конкурса стали: в средней группе 1 место занял Сережа Данилов (5 кл. БСОШ им.А.Осипова), 2 место Вероника Никитина (8 кл БСОШ им.А.Осипова), и 3 место занял Агит Чемезов (6 кл. Маганинской СОШ им. Л.Харитонова).</t>
  </si>
  <si>
    <t>Распоряжением Главы МР «Горный улус» от 17 августа 2020 г. №1002/01-02  внесены изменения в список победителей конкурса. За счет отсутстия финансирования из государственного бюджета выполнена передвижка средств из МП</t>
  </si>
  <si>
    <t>За счет отсутстия финансирования из государственного бюджета на реализацию мероприятий направленных на патриотическое воспитание молодежи выполнена передвижка средств из МП в статьюКонкурс на предоставление  субсидий из бюджета муниципального района "Горный улус» Республики Саха (Якутия) на реализацию мероприятий, направленных патриотическому воспитанию молодежи</t>
  </si>
  <si>
    <t>исполнен, поверка теплосчетчиков МБДОУ Одуванчик с.Асыма, МБДОУ Радуга  с.Бясь-Кюель, МБДОУ Туллукчаана с.Магарас.</t>
  </si>
  <si>
    <t>исполнение в октябре, закупка мед.дезинфицир.средств</t>
  </si>
  <si>
    <t>исполнен, закупка мед.дезинфицир.средств, рециркуляторов</t>
  </si>
  <si>
    <t>исполнен, поверку теплосчетчиков МБОУ БСОШ им.С.П.Данилова, МБОУ Магарасская СОШ им.Л.Н.Харитонова, МБОУ Маганинская СОШ им.С.И.Тимофеева-Кустуктаанап.</t>
  </si>
  <si>
    <t>исполнен,серебряный знак «За особые успехи в обучении», получили 8 выпускников школ</t>
  </si>
  <si>
    <t>исполнен, софинсирование на закупку мебели для центров "Точка роста" МБОУ "Джикимдинская СОШ", МБОУ "Магарасская СОШ" по 300,00 тыс.руб.</t>
  </si>
  <si>
    <t>исполнен, 1 место — «PRO-fix» (БСОШ с УИОП им. А.Осипова), 2 место — «Пчёлки» (БСОШ им. С.П. Данилова), 3 место — «ЛЯП» (Ертская СОШ им. С. И. Тарасова)</t>
  </si>
  <si>
    <t>исполнены в октябре месяце МБДОУ "Сардаана"</t>
  </si>
  <si>
    <t>исполнены в октябре месяце МБОУ "Ертская СОШ"</t>
  </si>
  <si>
    <t>построено 11 навесов, душевых и туалетов на объектах, задействованных в размещении и питании участников Игр Манчаары</t>
  </si>
  <si>
    <t>исполнен, направлен на устранение замечаний РПН МБОУ БСОШ с УИОП им.А.Н.Осипова, МБОУ Ертская СОШ им.С.И.Тарасова, МБОУ Кептинская СОШ</t>
  </si>
  <si>
    <t>исполнен, направлен на установку системы «Протон» с выводом на пульт 01, огнезащитную обработку, монтаж пожарной сигнализации, пожарный аудит</t>
  </si>
  <si>
    <t>Все 150 выпускников школ получили аттестат.</t>
  </si>
  <si>
    <t>Основная причина невыполнения плана – недостаточная подготовка выпускников в условиях пандемии коронавируса.</t>
  </si>
  <si>
    <t>Основная причина невыполнения плана – недостаточная индивидуальная работа с обучающимися.</t>
  </si>
  <si>
    <t>С текущего учебного года в улусе учрежден серебряный знак «За особые успехи в обучении», получили 8 выпускников школ.</t>
  </si>
  <si>
    <t>Алексеева Сахаяна (учитель Жиркова Татьяна Ивановна), выпускница МБОУ «Бердигестяхская СОШ с УИОП им.А.Н.Осипова» - 100 баллов по русскому языку</t>
  </si>
  <si>
    <t>Функционируют в МБОУ БУГ, МБОУ БСОШ с УИОП им.А.Н.Осипова.</t>
  </si>
  <si>
    <t>В этом году созданы такие классы в МБОУ Магарасская СОШ им. Л.Н.Харитонова, МБОУ Маганинская СОШ им. С.И.Тимофеева – Кустуктаанап.</t>
  </si>
  <si>
    <t>В связи с пандемией план не выполнен. Международный лагерь создан только в МБОУ БСОШ с УИОП им.А.Н.Осипова.</t>
  </si>
  <si>
    <t>Центры «Точка роста» открыты: МБОУ БСОШ им.С.П.Данилова, МБОУ БСОШ с УИОП им.А.Н.Осипова, МБОУ Магарасская СОШ им.Л.Н.Харитонова, МБОУ Джикимдинская СОШ им.Софр.П.Данилова.</t>
  </si>
  <si>
    <t>Открытие образовательных Центров компетенций планируется с 2021 года.</t>
  </si>
  <si>
    <t>Муниципальный этап Республиканского конкурса «Моя профессия IT—2020» проводился 13-15 февраля 2020 г. на базе МБОУ «Бердигестяхская СОШ им. С.П. Данилова». Всего участвовало 48 детей.</t>
  </si>
  <si>
    <t>В связи с эпидемиологической ситуацией прием испытаний (тестирования) среди обучающихся не проводился.</t>
  </si>
  <si>
    <t>Создание центра повышения квалификации и профессионального мастерства педагогических работников в Горном районе по модели «мини» планируется в 2024 году, в соответствии с планом мероприятий проекта «Учитель будущего».</t>
  </si>
  <si>
    <t>стационарный лагерь «Сокол» с.Асыма закупил холодильник для пищеблока, кулер, насосную станцию, огнетушитель.</t>
  </si>
  <si>
    <t>Микрозаймы получили 2 субъекта малого предпринимательства, на общую сумму 2 000 тыс. руб.</t>
  </si>
  <si>
    <t>Конкурсный отбор на создание туристского комплекса был проведен 6 октября 2020 г. Субсидии получили 2 субъекта малого предпринимательства, на общую сумму 1 000 тыс. руб.</t>
  </si>
  <si>
    <t>Количество СМСП сократилось в виду последствий от (COViD-19), согласно данным ФНС из учета в налоговом органе вышли 17 организаций и 50 ИП</t>
  </si>
  <si>
    <t>Из перечня муниципального имущества был исключен пищеблок , который был сдан в аренду, также в аренду было сдано оборудование пищеблока часть которого была передана образовательным учреждениям , а часть списана в связи с непригодностью по итогам инвентаризации. В связи с вышеизложенным процент количества объектов имущества сократился.</t>
  </si>
  <si>
    <t xml:space="preserve">Специальная оценка проведена в 69 рабочих местах в администрации МР "Горный улус", Улусный совет, КСО, МУ"ФКУ",МУ"ДЕЗ",МУ "УИЗО"  </t>
  </si>
  <si>
    <t>медосмотр был приостановлен в связи с пандемией</t>
  </si>
  <si>
    <t>Выделены единовременные выплаты 1 ветерану ВОВ, 11 вдовам участников ВОВ</t>
  </si>
  <si>
    <t>Проведен конкурс среди ветеранских НКО, по итогам конкурса улусному Совету ветеранов предусмотрена субсидия в сумме 336400 рб, "Школа третьего возраста 50+" - 49600 рб.</t>
  </si>
  <si>
    <t>Оказана дополнительная социальная поддержка 24 многодетным семьям, родившим 4 и 6 ребенка. Заключены договора с сельхозпредприятиями, крестьянскими хозяйствами. Оплата за приобретение теленка с Агрогорный не произведена, должен оформлен взаиморасчет</t>
  </si>
  <si>
    <t>Мероприятие перенесено в связи с распрострением короновирусной инфекции</t>
  </si>
  <si>
    <t xml:space="preserve">По итогам республиканского конкурса среди муниципальных районов Горный улус занял 1 место и выделена субсидия в сумме 300000 рублей, из местного бюджета софинансирование - 120000 рублей. В апреле проведен улусный конкурс среди СО НКО и ТОС, по решению комиссии распределены субсидии 4 НКО. Эта сумма передвинута на другую статью. </t>
  </si>
  <si>
    <t xml:space="preserve">Министерством молодежи и социальным коммуникациям РС(Я) проведены гражданские выходные в Вилюйских районах, совместный выезд по обмену опытом </t>
  </si>
  <si>
    <t>договор от 02.10.2020 г. заключен</t>
  </si>
  <si>
    <t>Остаток переведен на 2021 год</t>
  </si>
  <si>
    <t>Выполнение кадастровых работ в отношении объекта незавершенного строительства (свайное поле)</t>
  </si>
  <si>
    <t>Оплата по договору подряда ООО "Гис-кадастр" №77/020 от 07.12.2020</t>
  </si>
  <si>
    <t>Оплата по договору  ООО "Максима недвижимость" №М20-18 от 29.05.20</t>
  </si>
  <si>
    <t>Выполнены ГУП "РЦТИ" акты сноса МКД - 2 ед. (18 квартир) по Договору подряда №04/35/2020 от 20.04.20 на сумму 51,58 тыс.руб. Кадастровые работы по изготовлению техпланов, актов обследования по Договорам подряда с ИП Ващенко С.В. на сумму 50,00 тыс.руб, 14 тыс.руб.,17 тыс.руб.</t>
  </si>
  <si>
    <t>Проведение оценочных работ</t>
  </si>
  <si>
    <t>Приобретение компьютерной техники</t>
  </si>
  <si>
    <t>Договор с ООО "Интелдок" на сумму 3 тыс.руб. (оценка УАЗ). Договора с ООО "Аартык-консалтинг" на сумму 3 тыс.руб. (оценка Патриот), 2,5 тыс.руб., 17,5 тыс.руб.(аукцион ЗУ), 2,5 тыс.руб., 9,5 тыс.руб.(гараж, стоимость аренды септика)</t>
  </si>
  <si>
    <t>Оплата по Договору купли-продажи №2 от 29.10.2020, приобретение недвижимого имущества</t>
  </si>
  <si>
    <t>Оплата по Договору ООО "Сопротивление" №ТПА00019360 от 03.12.2020, сумма 60,93 тыс.руб.</t>
  </si>
  <si>
    <t xml:space="preserve">План выполенен, застрахован МКД по ул. Парфенова, 10 по Договору страхования №06-000001-129/20 от 13.04.20. </t>
  </si>
  <si>
    <t>ЗУ ТУСМ ул. Строда, 14</t>
  </si>
  <si>
    <t>Договор подряда №006/20 от 05.03.20 ИП Степанов А.И.на сумму 70 тыс.руб.</t>
  </si>
  <si>
    <t>Автомобильные дороги мкрн Заречный (ул.Дьулуур, Сайдыы, Туску)</t>
  </si>
  <si>
    <t>ЗУ здания РСХБ (Ленина, 7а)</t>
  </si>
  <si>
    <t>Водоочистное сооружение (Дамба)</t>
  </si>
  <si>
    <t>Договор подряда №007/20 от 24.03.20 ИП Степанов А.И.на сумму 60 тыс.руб.</t>
  </si>
  <si>
    <t>Набережная (Н.Прохорова, 18), парковка тира (Коврова, 6)</t>
  </si>
  <si>
    <t>Сквер "Горный" (Данилова, 14/2)</t>
  </si>
  <si>
    <t>Защита населенного пункта (ДВ га)</t>
  </si>
  <si>
    <t>Договор подряда №012/20 от 20.04.20 ИП Степанов А.И.на сумму 74 тыс.руб., оплата будет производиться после подписания акта</t>
  </si>
  <si>
    <t>ПКиО (Н.Прохорова, 27/3, раздел Н.Прохорова, 30)</t>
  </si>
  <si>
    <t>Межевание ЗУ, выставляемых на аукцион (6 ед.)</t>
  </si>
  <si>
    <t>Парфенова, 58/3, 58/5(аукцион)</t>
  </si>
  <si>
    <t>Договор подряда №008/20 от 09.06.20 ИП Степанов А.И.на сумму 20 тыс.руб.</t>
  </si>
  <si>
    <t>Нагорная, 4 б (аукцион ИП)</t>
  </si>
  <si>
    <t>Межевание ЗУ объектов туризма (уч. Дамба, уч. Дамба), уч. Тураннаах КОС, уч. Дамба ВОС, уч. Тураннаах КОС</t>
  </si>
  <si>
    <t>Договор подряда №015/20 от 20.08.20 ИП Степанов А.И.на сумму 70 тыс.руб.</t>
  </si>
  <si>
    <t>11 межевых планов: ул. Чэбдик 10, Чэбдик 5/1,С.Дьячковского 36Б, Кэскил 34, Сосновая 15/3, Сосновая 15/2, Мостовая 6В, мкрн Молодежный 10А, Комарова 12, Чычаас 10, Р.Андреевой 1Б</t>
  </si>
  <si>
    <t>Договор подряда №018/20 от 08.10.2020  ИП Степанов А.И.на сумму 66 тыс.руб.</t>
  </si>
  <si>
    <t>5 межевых планов: ул. С.Данилова 49б, Ленина 12/1, Пионерская 1а, А.Парфенова 60/1, уч. Дамба</t>
  </si>
  <si>
    <t>Договор подряда №024/2020 от 01.12.2020 ИП Степанов А.И.на сумму 68 тыс.руб.</t>
  </si>
  <si>
    <t xml:space="preserve">Создание фонда перераспределения земель </t>
  </si>
  <si>
    <t>Закупка товаров, работ и  услуг для обеспечения государственных (муниципальных) нужд</t>
  </si>
  <si>
    <t>1.1</t>
  </si>
  <si>
    <t>2.2</t>
  </si>
  <si>
    <t>2.1</t>
  </si>
  <si>
    <t>2.3</t>
  </si>
  <si>
    <t>Проведение итогового мероприятия Фестиваль "Модун санаа",  награждение активных граждан.</t>
  </si>
  <si>
    <t>30 тыс премия за Лучшую структуру по развитию интитутов гражданского общества РС (Я) поступил 28 декабря 2020г</t>
  </si>
  <si>
    <t xml:space="preserve">Количество объектов, зарегистрированных в собственность МР «Горный улус» составляет 17 единиц, это – 3 жилых помещения для детей-сирот по адресам: ул. С.Данилова, 55/1, ул. Дьячковского, 6 а и 4 жилых помещения по адресу: ул. Юбилейная, 22 с. Магарас, подлежащие безвозмездной передаче в собственность МО «Одунунский наслег».  План выполнен. </t>
  </si>
  <si>
    <t>Количество земельных участков, зарегистрированных в собственность муниципального района по плану 8 ед. Фактически зарегистрировано – 26 ед. (земельные участки под автомобильные дороги мкр. Заречный, под строящиеся объекты, под объекты муниципального района «Горный улус»).</t>
  </si>
  <si>
    <t>Подпрограмма №1 Управление муниципальным имуществом</t>
  </si>
  <si>
    <t xml:space="preserve">Обеспечение работников средствами индивидуальной и коллективной защиты   </t>
  </si>
  <si>
    <t>Строительство и модернизация животноводческих объектов</t>
  </si>
  <si>
    <t xml:space="preserve">        Субсидии на строительство коровников</t>
  </si>
  <si>
    <t xml:space="preserve">       Субсидия на закуп мяса КРС</t>
  </si>
  <si>
    <t>Кормопроизводство</t>
  </si>
  <si>
    <t>Проведение мероприятий, на поддержку и стимулирование табунного коневодства</t>
  </si>
  <si>
    <t>Финансовое обеспечение (возмещение) затрат на строительство молочного цеха</t>
  </si>
  <si>
    <t>Проведение мероприятий, направленных на поддержку и стимулирование переработки</t>
  </si>
  <si>
    <t>Финансовое обеспечение  расходов на укрепление МТБ звероводческих хозяйств</t>
  </si>
  <si>
    <t>Регулирование численности хищников</t>
  </si>
  <si>
    <t>Проведение мероприятий</t>
  </si>
  <si>
    <t>Итоги года сельского хозяйства в МР "Горный улус"</t>
  </si>
  <si>
    <t xml:space="preserve">носит заявительный характер </t>
  </si>
  <si>
    <t>софин 5000,0 кормопроизводство МО</t>
  </si>
  <si>
    <t>Мероприятие "День коневода"</t>
  </si>
  <si>
    <t>Поддержка производства и переработки продукции скотоводства</t>
  </si>
  <si>
    <t>Финансовое обеспечение (возмещение) затрат по производству и переработки продукции скотоводства</t>
  </si>
  <si>
    <t>Поддержка производства кобыльего молока</t>
  </si>
  <si>
    <t>Фонд оплаты труда начальника с отчислениями</t>
  </si>
  <si>
    <t>Цель- стимулирование роста производства продукции животноводства и скороспелых видов сельскохозяйственных животных. комплекса</t>
  </si>
  <si>
    <t>Заготовка кормов</t>
  </si>
  <si>
    <t>Основная цель - увеличение урожайности сельскохозяйственных культур</t>
  </si>
  <si>
    <t>Приобретение семян под посев кормовых культур</t>
  </si>
  <si>
    <t>ОПО (Лебедев А.Н.)</t>
  </si>
  <si>
    <t>Очищено и вывезено 16 несанкционированных свалок: МО "Атамайский наслег"- 2, МО "Бердигестяхский наслег"- 3, МО "Кировский наслег"- 2, МО "Малтанинский наслег"- 2, МО "Маганинский наслег"- 2, МО "Одунунский наслег"- 2, МО "Октябрьский наслег"- 2, МО "Шологонский наслег"- 2.</t>
  </si>
  <si>
    <t>утановлены 2 баннера на прилегающей территории по размещению отходов в с.Бердигестях.</t>
  </si>
  <si>
    <t>посажено на территории Горного улуса 500 деревьев</t>
  </si>
  <si>
    <t>посажено на территории Горного улуса 20 кустарников</t>
  </si>
  <si>
    <t xml:space="preserve">посажено на территории Горного улуса 4000 цветов </t>
  </si>
  <si>
    <t>изготовлено буклетов Акция "Природа и мы" 150 шт.</t>
  </si>
  <si>
    <t>всего выходов в социальные сети, интернет, телепередач - 22</t>
  </si>
  <si>
    <t>всего участников 1300 человек, мероприятия в основном были в дистанционном формате</t>
  </si>
  <si>
    <t xml:space="preserve">За ущерб животному миру от дорожных организаций поступило в местный бюджет компенсации 5142,29 руб.  </t>
  </si>
  <si>
    <t>Горной улусной инспекцией охраны природы наложено административных штрафов и исков на общую сумму 2190637,24 руб</t>
  </si>
  <si>
    <t>Доля развития материально-технической базы</t>
  </si>
  <si>
    <t xml:space="preserve">ед </t>
  </si>
  <si>
    <t>Субсидия на поддержку учреждений культуры</t>
  </si>
  <si>
    <t>12 мес</t>
  </si>
  <si>
    <t>финансирование переведено в МКУ "ДЕЗ"</t>
  </si>
  <si>
    <t xml:space="preserve">Оформлена бесплатная подписка на газету "Улэ кууьэ"  Почетным гражданам улуса </t>
  </si>
  <si>
    <t xml:space="preserve">Изготовлены объемные цифры 75 на площади Победы, баннер на объездной дороге. Выделены единовременные выплаты 1 ветерану ВОВ, 11 вдовам участников ВОВ. С праздником 9 мая тправлены открытки с конвертом 290 ветеранам тыла и детям войны, приобретены цветы для возложения к памятникам на 9 мая. Ко Дню Парада Победы вручены подарки 1 ветеранам войны и 76 ветеранам тыла. </t>
  </si>
  <si>
    <t>Оказана социальная выплата 2 долгожителям по 10000 рб. Оплата 100000 рб ветерану ВОВ в связи с 100-летием, и по 10000 рб 4 долгожителям</t>
  </si>
  <si>
    <t xml:space="preserve">Организованы 2 выезда Совета ветеранов в г.Якутск. </t>
  </si>
  <si>
    <t>Содержание муниципальных автодорог Орто-Кептин(57,6км), Бердигестях-Ерт(71,6км), Дикимдя-Эбя(7км)</t>
  </si>
  <si>
    <t>Произведена оплата на проведение проверки сметной стоимости по объекту "Ремонт муниципальной автомобильной дороги "Орто-Сурт - Кептин" и "Бердигестях-Ерт" на территории МР "Горный улус РС(Я)"</t>
  </si>
  <si>
    <t>Подрядчик ООО "Амгор", работы завершены</t>
  </si>
  <si>
    <t>Выполнено устройство выдопропускных труб в количестве 2 шт., и отремонтировано 2 деревянных моста 2 шт. на автодороге "Бердигестях-Ерт"</t>
  </si>
  <si>
    <t>Подрядчик ООО "Амгор", стоимость контракта 3515,0 тыс.руб., в декабре месяце заключено дополнительное соглашение на сумму 263,46 тыс.руб. на выполнение дополнительного рейса</t>
  </si>
  <si>
    <t>Финансовые средства освоены</t>
  </si>
  <si>
    <t xml:space="preserve">Остаток от экономии ФОТ сводно-аналитического отдела ФКУ </t>
  </si>
  <si>
    <t>соф МО 1850,0 Молодая семья</t>
  </si>
  <si>
    <t>Психологическая поддержка личности в процессе социализации</t>
  </si>
  <si>
    <t>Субсидия Автоледи 30 000 приостановлен с Ковид</t>
  </si>
  <si>
    <t>ОСП (Васильева С.М.)</t>
  </si>
  <si>
    <t>Органы МСУ перешли  на новую систему «Единая система электронного документооборота» (далее – ЕСЭД). Оператором ЕСЭД является Инфосистемы-КС 
Управление, отделы подключены к ЕСЕД (кроме УСХ, муниципального архива)
Ведется работа с муницапальныи образованиями. Учетную запись получили 73 работников ОМСУ</t>
  </si>
  <si>
    <t>Контракт заключен с ИП Слепцов И.Н.
Контракт заключен с ИП Слепцов И.Н.
Репортаж-2
Передача-2
Ролик-5
Ютуб канал новостнык программы-31</t>
  </si>
  <si>
    <t>Опубликованы в республиканской газете «Саха сирэй»:
1.соболезнование с фотографией на покойника Алексеева Николая Петровича, проработавшего 1 секретарем райисполкома в республиканской газете «Саха сирэ»
2.соболезнование на покойника Иванова А.С. главу Оленекского улуса
3.некролог на имя Даниловой В.С. заслуженного врача ЯАССР</t>
  </si>
  <si>
    <t>Доля органов местного самоуправления муниципального района «Горный улус» РС(Я) и подведомственных организаций, обеспечивающих размещение информации о своей деятельности на официальном информационном портале РС(Я)электронного документооборота между ОМСУ в общем объеме документооборота</t>
  </si>
  <si>
    <t>В связи с отсутствием НПА о передачи средств статьи молодежным НКО в 4 квартале выполнена передвижка в подпрограмму Развитие добровольчества</t>
  </si>
  <si>
    <t>выполнена передвижка в подпрограмму Развитие добровольчества</t>
  </si>
  <si>
    <t>Распоряжение Главы МР Горный улус от 03.10.2020 №1345/01-02, Распоряжение Главы МР Горный улус от 06.10.2020 №1357/01-02</t>
  </si>
  <si>
    <t>исполнен 31.01.2020 смета 1</t>
  </si>
  <si>
    <t>исполнен 18.02.2020 смета 3</t>
  </si>
  <si>
    <t>исполнен 12.03.2020 смета 2</t>
  </si>
  <si>
    <t>Изготовление грамот для волонтеров (награждены 60 волонтеров Всероссийской акции «Мы вместе»)</t>
  </si>
  <si>
    <t xml:space="preserve"> 5 декабря - Международный день волонтера проведен онлайн мероприятие для волонтеров, награждение волонтеров Ковид-19 (подарочные сертификаты)</t>
  </si>
  <si>
    <t>Остаток ГСМ-15,88р, Разработка логотипа - 50,0 (Договор об оказании услуг №29-20 от 30.11.2020), Разработка ролика - 70,0 (Договор об оказании услуг №17 от 10.12.2020)</t>
  </si>
  <si>
    <t>Подписан договор ИП Данилов А.Л. на установку видеонаблюдения</t>
  </si>
  <si>
    <t xml:space="preserve">Исполнение данного индикатора осуществляется совместно с ЦСППСиМ. </t>
  </si>
  <si>
    <t>Повышение квалификации руководителей и специалистов органа управления образованием</t>
  </si>
  <si>
    <t>Ремонт объектов образования в рамках подготовки организации размещения и питания участников Игр Манчаары</t>
  </si>
  <si>
    <t>Остаток  310,2 тыс.руб. по статье 213 страховые взносы,  803,5 тыс.руб. - по статье 310 (приобретение авто)</t>
  </si>
  <si>
    <t>исполнен, закуплены: чемодан психолога с диагностическими комплектами, ноутбук для специалиста, принтер лазерный, офисный шкаф.</t>
  </si>
  <si>
    <t>софинансирование федеральных средств на обеспечение горячим питанием начальных классов, с октября исполнение</t>
  </si>
  <si>
    <t>исполнен, поощрение 20 выпускников школ - золотых медалистов по 3 тр</t>
  </si>
  <si>
    <t>Алексеева Сахаяна (100), Кононова Куннэй по 10 тр (р/я 96 и лит97), Никифорова Алена (94), Протопопова Милица (96) по 5 тр</t>
  </si>
  <si>
    <t>исполнен, стипендия назначена 5 учащимся</t>
  </si>
  <si>
    <t xml:space="preserve">Остаток 791,8 тыс.руб. по статье 223 11072  минимальный размер экономии за потребление электроэнергии за первый год в рамках ЭСКО ДОУ </t>
  </si>
  <si>
    <t>исполнен, выходное пособие сокращенных шт.ед.охранников Кырачаан ымыы, Сардаана</t>
  </si>
  <si>
    <t xml:space="preserve">исполнен, осуществлена оплата по договору аренды </t>
  </si>
  <si>
    <t>исполнен. Муниципальный этап конкурса проведен 1-14 декабря 2020 года, на призы муниципального этапа израсходовано 19 тыс.рублей. На оплату орг.взноса за участие в Региональном этапе направлено 51,0 тыс.руб.</t>
  </si>
  <si>
    <t>исполнен, победителями признаны МБОУ БСОШ им.С.П.Данилова, МБОУ Атамайская СОШ им. В.Д.Лонгинова, призеры -  МБОУ Кептинская СОШ, МБОУ Магарасская СОШ им. Л.Н.Харитонова</t>
  </si>
  <si>
    <t>исполнен, поощрены 8 проектов школ и 1 проект МБУ ДО ЦДО</t>
  </si>
  <si>
    <t>исполнен, пощрены 10 проектов (7 школ и МБУ ДО ЦДО)</t>
  </si>
  <si>
    <t>Из 9 спортивных мероприятий в рамках КСУ за 2019-2020 уч.г. проведено 5 (борьба "Хапса5ай", настольные игры "Хабылык", "Хаамыска", гиревой спорт, мас-рестлинг, национальное многоборье. Оставшиеся 4 вида (северное многоборье, национальные прыжки, пулевая стрельба, легкая атлетика) в связи с эпидемиологической ситуацией отменены. Призовой фонд распределен всем 11 школам</t>
  </si>
  <si>
    <t>исполнен, проведение Елки главы МР "Горный улус"</t>
  </si>
  <si>
    <t xml:space="preserve">исполнен. Распределено по заявке УФКИС: МБОУ Кептинская СОШ, МБУ ДО ДЮСШ </t>
  </si>
  <si>
    <t xml:space="preserve">повышение специалиста  дополнительного образования МКУ "УО" в г.Москва </t>
  </si>
  <si>
    <t xml:space="preserve">софинансироване части командировочных расходов заведующих детских садов в г.Казань на повышение квалификации - расходование в октябре 2020 года, 
софинансированием части командировочных расходов тренера преподавателя МБУ ДО "ДЮСШ им. А.А.Агеева" в г.Москва на повышение квалификации </t>
  </si>
  <si>
    <t>исполнен, работали очно 5 дневных лагерей с охватом 120 детей, в дистанционном формате работали 7 лагерей с охватом 510 детей. В 3 сезоне стационарные лагеря не работали</t>
  </si>
  <si>
    <t>исполнен, недоделанные работы по объекту завершены, подписаны формы КС2, КС3</t>
  </si>
  <si>
    <t>исполнен, сумма уточнена приказами Министерства финансов РС(Я) от 10.09.2020 года № 01-04/1367, от 25.12.2020 года №01-04/2301 «О распределении дотации на поддержку мер по обеспечению сбалансированности местных бюджетов»</t>
  </si>
  <si>
    <t>исполнен, работы завершены в срок</t>
  </si>
  <si>
    <t>исполнен, работы завершены в августе месяце</t>
  </si>
  <si>
    <t>По причине поставки некачественного материала работы не завершены в срок. Ведется работа по восстановлению средств за счет федерального и республиканского бюджета. Предполагаемый срок завершения работ - март 2021 года.</t>
  </si>
  <si>
    <t>Завершены дополнительные работы на сумму 102,17 тыс.рублей: ремонт внутренней отделки, утепление узла ввода, материалы покраски покрытия пола спортивного зала. По причине поставки некачественного материала не приняты работы по контаркту от 10.07.2020 №08/20-ЗКЭФ на сумму  499,58 тыс.рублей (ремонт внутренней отделки потолка, покрытия пола, облицовки ступеней, замена старого покрытия пола на резиновую крошку). Предполагаемый срок завершения работ - конец февраля 2021 года.</t>
  </si>
  <si>
    <t>Работы по замене электросети на сумму 284,87 тыс.рублей завершены. 28.12.2020 заключен контракт с ООО "Платинум" на сумму 789,47 тыс.рублей. Работы завершены в феврале 2021 года. На сумму экономии 263,66 тыс.рублей составлена смета на проведение работ по водоснабжению и водоотведению дополнительного пищеблока.</t>
  </si>
  <si>
    <t xml:space="preserve">исполнен, сумма уточнена приказом Министерства финансов РС(Я) от 25.12.2020 года № 01-04/2301 «О распределении дотации на поддержку мер по обеспечению сбалансированности местных бюджетов» </t>
  </si>
  <si>
    <t>исполнен, направлен на установку системы Протон 02, монтаж видеонаблюдения, остаток - перевод учреждений на аутсорсинг охранных услуг в 4 квартале, КюерелСОШ, Мичээр с.Кептин, Туллукчаана Магарас</t>
  </si>
  <si>
    <t>Подготовка и участие к спартакиаде по национальным видам спорта «Игры Манчаары» (Организация УТС, расходы на ГСМ, проживание и питание спортсменов, приобретение единой спортивной формы и спортивных инвентарей)</t>
  </si>
  <si>
    <t>Организация и проведение соревнований по национальным видам спорта в Горном улусе.</t>
  </si>
  <si>
    <t>Подготовка и участие сборных команд и спортсменов Горного улуса по адаптивным видам спорта на Республиканских, Российских и международных соревнованиях (проезд, питание, проживание)</t>
  </si>
  <si>
    <t>Вознаграждения спортсменов, тренеров добившихся высоких результатов на официальных Республиканских, Всероссийских и международных соревнованиях</t>
  </si>
  <si>
    <t>Поддержка агронаправленности МСОШ им.Л.Н.</t>
  </si>
  <si>
    <t>Субсидия на заготовку мяса</t>
  </si>
  <si>
    <t>Увеличение стартовых мест 7-10 старт машины на конных скачках</t>
  </si>
  <si>
    <t>Изготовление эстакады для разгрузки скота</t>
  </si>
  <si>
    <t xml:space="preserve"> Строительство и модернизация животноводческих объектов, совершенствование технологии производства продукции животноводства</t>
  </si>
  <si>
    <t>Реконструкция ипподрома с.Бердигестях</t>
  </si>
  <si>
    <t>на "1" января 2021 года</t>
  </si>
  <si>
    <t>Расчет оценочного показателя по каждому критерию (Gi * Wi),ед. (балл)</t>
  </si>
  <si>
    <t>ОКЖ</t>
  </si>
  <si>
    <t>Дорожное хозяйство</t>
  </si>
  <si>
    <t>Охрана труда</t>
  </si>
  <si>
    <t>Кадровый потенциал</t>
  </si>
  <si>
    <t>Семейная политика</t>
  </si>
  <si>
    <t>Старшее поколение</t>
  </si>
  <si>
    <t>НКО</t>
  </si>
  <si>
    <t>Профилактика правонарушений</t>
  </si>
  <si>
    <t>Безбарьерная среда</t>
  </si>
  <si>
    <t>Развитие информационного общества</t>
  </si>
  <si>
    <t xml:space="preserve">Предпринимательство </t>
  </si>
  <si>
    <t>Спорт</t>
  </si>
  <si>
    <t>Молодежь</t>
  </si>
  <si>
    <t>Охрана окр среды</t>
  </si>
  <si>
    <t>Управление мун собственностью</t>
  </si>
  <si>
    <t>Финансы</t>
  </si>
  <si>
    <t>газ</t>
  </si>
  <si>
    <t>Сельское хозяйство</t>
  </si>
  <si>
    <t>Культура</t>
  </si>
  <si>
    <t>КРСТ</t>
  </si>
  <si>
    <t>Образование</t>
  </si>
  <si>
    <t>Федеральный бюджет</t>
  </si>
  <si>
    <t>Бюджет РС(Я)</t>
  </si>
  <si>
    <t>Бюджет МР "Горный улус"</t>
  </si>
  <si>
    <t>Прочие источники</t>
  </si>
  <si>
    <t>Бюджет МО "Бердигестяхский наслег"</t>
  </si>
  <si>
    <t>Энергосбережение</t>
  </si>
  <si>
    <t>УАиС (Романова Э.М.)</t>
  </si>
  <si>
    <t>СУП (Петров П.А.)</t>
  </si>
  <si>
    <t>МКУ УИЗО (Чемезова М.П.)</t>
  </si>
  <si>
    <t>УЭР (Саввина О.Р.)</t>
  </si>
  <si>
    <t xml:space="preserve"> Охраны труда (Скрыбыкина О.Н.)</t>
  </si>
  <si>
    <t>УЭР (Павлов С.Е.)</t>
  </si>
  <si>
    <t>По итогам 2020 года по результатам ЕГЭ по русскому языку, математике улус находится на 16 месте по республике</t>
  </si>
  <si>
    <t>В текущем году дошкольное образование получают всего 1173 детей, из них дети до 3-х лет – 282. Численность детей до 3-х лет, находящихся в очереди на 31.12.2020 года составляет 151 детей. Таким образом, значение вышеуказанного индикатора составляет 65,1%.</t>
  </si>
  <si>
    <t>Все остальные дети до 3-х лет, не охваченные дошкольным образованием, посещают консультационно-методические центры при детских садах, соответственно исполнение индикатора составит 34,9% (151 ребенок из всего количества детей до 3-х лет 433).</t>
  </si>
  <si>
    <t>средний балл ЕГЭ по русскому языку 64,3. Перевыполнение  на 3%</t>
  </si>
  <si>
    <t>Средний балл ЕГЭ - 53,3, невыполнение плана на  1,4%</t>
  </si>
  <si>
    <t>В связи со сложившейся ситуацией по распространению новой коронавирусной инфекции ОГЭ по итогам 2019-2020 учебного года не проводились.</t>
  </si>
  <si>
    <t>Из 150 выпускников в вузы поступили 64 выпускника, что составляет 42,7%.</t>
  </si>
  <si>
    <t xml:space="preserve">Из 150  выпускников ОО в ССУЗы поступили 72, что составляет 48%,  из 175 выпускников 9 класса  в ССУЗ-ы поступило  16 выпускников. В связи с изменениями по получению аттестатов, поступлений в ВВУЗы и ССУЗы в 2020 году  процент перевыполнения составил 301 %. </t>
  </si>
  <si>
    <t>Общее количество выпускников - 150, из них , поступивших в ВУЗыи ССУЗы технической направленности - 52, что составляет 116%. Процент перевыполнения - 16%.</t>
  </si>
  <si>
    <t>число приглашенных - 28, перевыполнение  на 40%</t>
  </si>
  <si>
    <t>Процент выполнения 100% в 2020 году Центры Точка Роста открылись Джикимдинской СОШ и Магарасской СОШ</t>
  </si>
  <si>
    <t xml:space="preserve">МБОУ Атамайская СОШ им. В.Д.Лонгинова выиграла Грант Президента РФ на сумму 2 000 000,00 рублей на создание агро – лаборатории. </t>
  </si>
  <si>
    <t>2020-21 учебный год количество учащихся с ОВЗ по улусу 152, из них обучаются на дому 47 учащихся, что в процентном соотношении составляет 31%. Увеличение детей в надомном обучении произошло из-за ситуации с коронавирусом, если ранее школы старались всех детей обучать в школе, то в данной ситуации из-за требований РПН создать необходимые условия обучения в школе для детей ОВЗ затруднительно</t>
  </si>
  <si>
    <t>Из 47 обучающихся на дому дополнительным дистанционным обучением охвачены 47 учащихся</t>
  </si>
  <si>
    <t xml:space="preserve">В общей численности педагогических работников- всего 134 человек,  23,4% от общего числа педагогических работников (572) прошли обучение по программам «Обучение педагогических работников оказанию первой доврачебной помощи», «Реализация ФГОС в работе с детьми с ограниченными возможностями здоровья». </t>
  </si>
  <si>
    <t>В текущем году дошкольное образование получают всего 1173 детей, из них дети от 3 до 7 лет  – 891,  адаптированным образовательным  программам  обучаются 14 детей от 3 до 7лет . Таким образом, значение вышеуказанного индикатора составляет  план 2,0% фактич 1,6%.</t>
  </si>
  <si>
    <t xml:space="preserve"> Прошли обучение по программе 126 педагогов, что составляет  22% от общего числа  педагогов (572 педагог) по программам: ФГОС основного общего, дошкольного, начального общего образования, формирование компетентностей обучающихся в условиях реализации ФГОС, моделирование современного урока в условиях реализации ФГОС, ФГОС:, индивидуализация  и компетентностное измерение качества образования.
</t>
  </si>
  <si>
    <t>В  режиме эксперимента работают   174 педагогов, 30,4% от общего числа педагогических работников    (572 педагог)  -  2 федеральные площадки  (МБОУ Атамайская СОШ, МБДОУ "Кырачаан Ымыылар"),  республиканские (МБОУ БСОШ с УИОП им.А.Осипова, МБОУ Кировская СОШ, МБОУ Маганинская СОШ им.С.И.Тимофеева-Кустуктаанап), МБУ ДО БДШИ, МБДОУ "Сардаана", МБДОУ "Одуванчик".</t>
  </si>
  <si>
    <t xml:space="preserve">Опубликованы разработки 76 педагогов, что составляет 13,3% педагогов, от общего числа педагогов  (572 педагог) в периодических изданиях, педагогических сайтах  различного уровней: журнал “Народное образование”, сборник Республиканских Авдеевских чтений, сборник региональных педагогическйих чтений авторских разработоток,  РЭИИ «Педагоги Якутии» Якутск 2020 г., журнал РРЦ “Юные якутяне”, сборник НПК «Ларионовские всероссийские чтения школьников и педагогов» также различных интернет изданиях.
</t>
  </si>
  <si>
    <t>Подключены к сети Интернет со скоростью 50мбт 9 школ из 11.</t>
  </si>
  <si>
    <t>Проект реализуется в 2 школах: МБОУ БУГ,  МБОУ БСОШ с УИОП им.А.Н.Осипова</t>
  </si>
  <si>
    <t>Классы открыты в МБОУ БСОШ с УИОП им.А.Н.Осипова и МБОУ БУГ. Процент перевыполнения 7%.</t>
  </si>
  <si>
    <t xml:space="preserve">Процент перевыполнения составил 200% в связи с переходом на всеобщее дистанционное обучение </t>
  </si>
  <si>
    <t>Агро - лаборатория создана в МБОУ Атамайская СОШ им. В.Д.Лонгинова.</t>
  </si>
  <si>
    <t>Увеличение охвата обучающихся за счет открытий Центров «Точка Роста» (МБОУ "Магарасская СОШ им. Л.Н.Харитонова" - 168 обучающихся, МБОУ "Джикимдинская СОШ им. Софр.П.Данилова" - 131 обучаюшиеся) и участия общеобразовательных организаций в проекте «Цифровая образовательная среда» (МБОУ "БУГ" - 151). МБОУ БСОШ с УИОП им. А.Осипова 645 учащихся, МБОУ БСОШ им. С.П.Данилова 434 учащихся</t>
  </si>
  <si>
    <t>Планируется открытие IT -школы на базе МБУ "ЦДО им Л.Е. Лукиной" на основе сетевого взаимодействия с ГАПОУ "Якутский колледж связи и энергетики им П.И Дудкина" с сентября 2021 года</t>
  </si>
  <si>
    <r>
      <t>4 обучающихся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МБОУ "БСОШ с УИОП", "БСОШ сим. С.П.Данилова",  "БУГ", "Джикмдинская СОШ" прошли в 2020 году непрерывное образование в дистанционной форме</t>
    </r>
  </si>
  <si>
    <t>В связи с эпидемиологической ситуацией в 2020-2021 учебном году дополнительное образование началось с 01 октября 2020 г. в дистанционном формате в учреждениях дополнительного образования, по состоянию на 01.01.2021 г. охват дополнительным образованием составлял 1475 из 2312 обучающихся (63,8%)</t>
  </si>
  <si>
    <t>Число взрослого населения, охваченного дополнительным образованием</t>
  </si>
  <si>
    <t xml:space="preserve">Всего по улусу охваченных дополнительным образованием технической направленности  452 обучающихся от числа охваченных дополнительным образованием 1703 детей по состоянию на декабрь 2020 г. ( 279— в учреждениях дополнительного образования, 173 — в общеобразовательных организациях). В качестве показателя взято суммарное соотношение занимающихся в общеобразовательных организациях и учреждениях дополнительного образования. </t>
  </si>
  <si>
    <t xml:space="preserve">С апреля 2020 года на платформе "Проектория" открытые уроки в связи с эпидемиологической ситуацией не были проведены. Последний урок был проведен 23 апреля 2020 г. Всего в последнем уроке участвовало 66 учащихся. </t>
  </si>
  <si>
    <t>IX Региональный чемпионат "Молодые профессионалы" WorldSkills Республики Саха (Якутия) 2021 прошел с 14-29 января. Всего из общеобразовательных школ Горного улуса участвовали в 11 компетенциях.</t>
  </si>
  <si>
    <t xml:space="preserve"> Всего в программах и мероприятиях Общероссийской общественно-государственной детско-юношеской организации «Российское движение школьников» было задействовано 245 детей. </t>
  </si>
  <si>
    <t xml:space="preserve">Всего по улусу дополнительным образованием физкультурно-спортивной направленности, от общего числа обучающихся 2312,  охвачены 754 обучающихся 2020 г. (398 — в учреждениях ДО, 356 — в общеобразовательных организациях)  </t>
  </si>
  <si>
    <t xml:space="preserve">Всего в течение 2020 года в спортивных соревнованиях Республики, Дальнего Востока, России было завоевано 66 медалей, из которых в республиканских — 59, международных -6, первенств России -1. Золото —24, серебро —26, бронза — 16. </t>
  </si>
  <si>
    <t xml:space="preserve">За 2020 год во всероссийское детско-юношеское военно-патриотическое общественное движение "Юнармия" зарегистрировались 141 детей. </t>
  </si>
  <si>
    <t>В 2020 году из-за эпидемиологической ситуации в волонтерских отрядах вовлечены 142 ребенка от общего числа обучающихся в возрасте от 10 до 18 лет 1346 детей</t>
  </si>
  <si>
    <t xml:space="preserve">Прошли переподготовку  6  руководителей ( 20,7%) от общего количества  руководителей  (29 рук) ОО Горного улуса </t>
  </si>
  <si>
    <t>Всего повысили квалификацию по предметным областям  202 педагогов (35,3%)  от общего числа педагогов Горного улуса (572 педагог)</t>
  </si>
  <si>
    <t>Все педагогические работники  Горного улуса ОО 100% (от общего числа педагогических работников -572) прошли обучение  на дистанционных курсах повышения квалификации,  обучающих семинарах, вебинарах, из  них 543 педагогов и 29 руководителей ОО</t>
  </si>
  <si>
    <t xml:space="preserve">По итогам 2020 года все руководители аттестованы на соответствие занимаемой должности </t>
  </si>
  <si>
    <t>В рамках национальной  системы   профессионального роста  педагогических работников приняли участие в профессиональных конкурсах 58 педагогов, что составляет 10,1% от общего числа педагогов (572 педагог)</t>
  </si>
  <si>
    <t>В форматах непрерывного образования повысили уровень квалификации 45 педагогов, что составляет 7,9% от общего числа педагогических работников (572 педагога) на вебинарах, циклах методических семинаров ИРОИПК</t>
  </si>
  <si>
    <t>Всего 15 педагогов прошли независимую оценку добровольную независимую оценку профессиональной квалификации</t>
  </si>
  <si>
    <t>Укомплектованность кадрами составляет 100%</t>
  </si>
  <si>
    <t>1 педагог, Жиркова Татьяна Ивановна, учитель русского языка и литературы, 100 баллов  по русскому языку и литературе у ученицы МБОУ «БСОШ с УИОП имени А.Н. Осипова», Алексеевой Сахайааны.</t>
  </si>
  <si>
    <r>
      <t xml:space="preserve">Как показывает мониторинг обеспечения кадрами ежегодно в среднем прибывает 15-18 молодых специалистов. Но все равно остается неизменной проблема текучести и дефицита  кадров. На 2020-2021 учебный год имеется 23 вакантных места. По данным на 01 января 2021 года из числа педагогов, прибывших в 2017, 2018, 2019 году продолжают работать только </t>
    </r>
    <r>
      <rPr>
        <b/>
        <sz val="12"/>
        <rFont val="Times New Roman"/>
        <family val="1"/>
        <charset val="204"/>
      </rPr>
      <t>12 педагогов</t>
    </r>
    <r>
      <rPr>
        <sz val="12"/>
        <rFont val="Times New Roman"/>
        <family val="1"/>
        <charset val="204"/>
      </rPr>
      <t>. На 2020-2021 учебный год прибыло 25 педагогов, из них: мол</t>
    </r>
    <r>
      <rPr>
        <b/>
        <sz val="12"/>
        <rFont val="Times New Roman"/>
        <family val="1"/>
        <charset val="204"/>
      </rPr>
      <t>од</t>
    </r>
    <r>
      <rPr>
        <sz val="12"/>
        <rFont val="Times New Roman"/>
        <family val="1"/>
        <charset val="204"/>
      </rPr>
      <t xml:space="preserve">ых педагогов окончивших профессиональное образовательное учреждение в 2020 году 7 специалистов, имеющих стаж до 3 лет 5 педагогов, 13 педагогов  имеют педагогический стаж более 3 лет. В 2019 году прибыло  16 молодых специлистов из них продолжают работать 9. </t>
    </r>
  </si>
  <si>
    <t>В связи со сложившейся эпидемиологической ситуацией очно работали 5 дневных лагерей с охватом 120 детей, в дистанционном формате работали 7 лагерей с охватом 510 детей. В 3 сезоне стационарные лагеря не работали (630/2260*100)</t>
  </si>
  <si>
    <t>В Горном улусе   проживают 1600 детей и подростков в возрасте от 6,6 до 17 лет  находящихся в трудной жизненной ситуации . Охват летним отдыхом 2020 году детей из ТЖС  составляет  630 детей (39,4% ).</t>
  </si>
  <si>
    <t xml:space="preserve">По данным статистической отчетности ОО-1 в первую смену учится 1883 учащихся из 2312, доля обуч в первую смену составляет 81,4% </t>
  </si>
  <si>
    <t xml:space="preserve">В рамках подготовки к Играм Манчаары в 2021 в с.Бердигестях строится объект «Многофункциональный спортивный зал в с.Бердигестях Горного улуса». Решено о передаче данного нового объекта МБУ ДО ДЮСШ </t>
  </si>
  <si>
    <t xml:space="preserve">По состоянию на 31.12.2021 года из 27 зданий образовательных организаций количество ветхих зданий составляет 12 единиц, из них 6 школ, 5 детских садов и 1 организация дополнительного образования. </t>
  </si>
  <si>
    <t>Так как в Горном улусе нет базовых хозяйств по свиноводству - не выполнен план поголовья свиней. 21 голов – это поголовье частных хозяйств, т.е. К(Ф)Х и ЛПХ.</t>
  </si>
  <si>
    <t>Доля матерей, охваченных курсом "Школа матери" из числа беременных женщин) количество 37 матерей, в связи с тем, что в связи с коронавирусной инфекцией, специалист «Перинатальный психолог» (Дьяконова Виктория Аркадьевна) имеет возраст 65 и выше работал удаленно, штат «Перинатальный психолог» сокращен с марта 2020г.</t>
  </si>
  <si>
    <t>Серъезной причиной невыполнения индикатора “Увеличение посещаемости платных мероприятий культурно-досуговых учреждений” послужило пандемия COVID-19. Деятельность культурно-досуговых учреждений со второй половины марта месяца до конца 2020 г. Указом Ил Дархан РС (Я) было приостановлена.</t>
  </si>
  <si>
    <t>Денежные средства не предусмотрены.</t>
  </si>
  <si>
    <t>строительство планируется в 2021 году, подписан контракт с ООО Атамай-Транснаб</t>
  </si>
  <si>
    <t>Укрепление общественного здоровья</t>
  </si>
  <si>
    <t>При разработке программы указаны ориентировочные плановые индикаторы, фактически ремонтные работы выполнялись исходя из распределенных в 2020 году средств.</t>
  </si>
  <si>
    <t>При разработке программы указаны ориентировочные плановые индикаторы исходя из планов инвестиционной программы ГУП «ЖКХ РС(Я)», фактически перевод котельных выполнено в количестве 3 шт. за счет средств ГУП «ЖКХ РС(Я)».</t>
  </si>
  <si>
    <t>При разработке программы указаны ориентировочные плановые индикаторы, Заказчиком по строительству ВПС с.Бердигестях выступает Дирекция по строительству Минсельхоза РС(Я). Объемы работ и количество домовладений имеющих возможность подключения к газоснабжению определялось Заказчиком.</t>
  </si>
  <si>
    <t>Причиной неисполнения индикаторов является незавершение разработки ПСД Водоскважин с.Кюерелях, с.Кептин, на сегодняшний день  ПСД находятся на завершающей стадии.</t>
  </si>
  <si>
    <t>Доля граждан, прошедших диспансеризацию</t>
  </si>
  <si>
    <t>Не предусмотрены денежные средства</t>
  </si>
  <si>
    <t xml:space="preserve"> Высокий</t>
  </si>
  <si>
    <t>Высокий/ низкий</t>
  </si>
  <si>
    <t xml:space="preserve">МП «Обеспечение качественным жильем и повышение качества жилищно-коммунальных услуг в МР «Горный улус» на 2020-2024годы» </t>
  </si>
  <si>
    <t>Муниципальная программа "Обеспечение качественным жильем и повышение качества жилищно-коммунальных услуг в МР «Горный улус» на 2020-2024годы"</t>
  </si>
  <si>
    <t>Цель - Обеспечение населения Горного улуса доступным благоустроенным жильем с безопасными и комфортными условиями среды проживания населения на основе самоокупаемости, эффективности и надежности функционирования инженерных систем.</t>
  </si>
  <si>
    <t>1. Реализация градостроительной политики, развитие и освоение территорий</t>
  </si>
  <si>
    <t>Цель-Развитие системы газоснабжения в соответствии с потребностями жилищного и общественно-делового строительства Горного улуса; повышение качества жизни и уровня комфорт-ности населения, проживающего в населенных пунктах Горного улуса, за счет газификации частных домовладений и жилищного строительства; улучшение экологической обстановки, связанной со снижением объемов использования твердого топлива.</t>
  </si>
  <si>
    <t>Реализация градостроительной политики, развитие и освоение территорий</t>
  </si>
  <si>
    <t>софинансирование МО в сумме 1850 тыс.руб.</t>
  </si>
  <si>
    <t>Муниципальная программа  «Развитие дорожного хозяйства в МР "Горный улус" на 2020-2024 годы»</t>
  </si>
  <si>
    <t>Цель-Повышение безопасности дорожного движения на муниципальных автомобильных дорогах Горного улуса, развитие и улучшение транспортно-эксплуатационных качеств автомобильных дорог общего пользования.</t>
  </si>
  <si>
    <t>Содержание, текущий и капитальный ремонт автомобильных дорог общего пользования местного значения</t>
  </si>
  <si>
    <t>Строительство, реконструкция автомобильных дорог местного значения</t>
  </si>
  <si>
    <t>Обеспечение качественным жильем и повышение качества жилищно-коммунальных услуг в МР «Горный улус» на 2020-2024годы</t>
  </si>
  <si>
    <t>Организация постоянных теле-радиопередач, рекламных роликов, специальных полос в улусной газете</t>
  </si>
  <si>
    <t>Экологическое просвещение и информация</t>
  </si>
  <si>
    <t>Цель -Улучшение условий и охраны труда в целях снижения производственного травматизма и профессиональной заболеваемости  работников организаций, расположенных на территории  МР "Горный улус"</t>
  </si>
  <si>
    <t>ВЦП"Развитие кадрового потенциала муниципальных служащих и работников органов местного самоуправления МР "Горный улус" на 2020-2024годы"</t>
  </si>
  <si>
    <t>Цель - Повышение качества подготовки управленческих кадров для новой экономики, расширение гибко адаптирующихся и опережающих изменения современных требований профессиональных компетенций работников органов местного самоуправления и муниципальных служащих.</t>
  </si>
  <si>
    <t>Развитие кадрового потенциала муниципальных служащих и работников органов местного самоуправления МР "Горный улус" на 2020-2024годы</t>
  </si>
  <si>
    <t>Муниципальная программа«Старшее поколение Горного улуса на 2020-2024 годы»</t>
  </si>
  <si>
    <t>Оказана материальная помощь детям войны в количестве 15 человек по 100000 рб, из них 750000 рб из бюджета МР "Горный улус", 750000 рб - из бюджета МО. На капитальный ремонт дома - 13, на подключение благоустройства - 2.</t>
  </si>
  <si>
    <t>МП«Поддержка социально ориентированных некоммерческих организаций и территориально общественных самоуправлений в Горном улусе на 2018-2024 годы»</t>
  </si>
  <si>
    <t xml:space="preserve">Муниципальная программа «Поддержка социально ориентированных некоммерческих организаций и территориально общественных самоуправлений в Горном улусе на 2018-2024 годы» </t>
  </si>
  <si>
    <t>Поддержка социально ориентированных некоммерческих организаций и территориально общественных самоуправлений в Горном улусе на 2018-2024 годы</t>
  </si>
  <si>
    <t>МП «Обеспечение безбарьерной среды жизнедеятельности инвалидов в Горном улусе на 2020 - 2024 годы»</t>
  </si>
  <si>
    <t>Муниципальная программа «Обеспечение безбарьерной среды жизнедеятельности инвалидов в Горном улусе на 2020 - 2024 годы»</t>
  </si>
  <si>
    <t>Обеспечение безбарьерной среды жизнедеятельности инвалидов в Горном улусе на 2020 - 2024 годы</t>
  </si>
  <si>
    <t xml:space="preserve">ОСП </t>
  </si>
  <si>
    <t>Профилактика правонарушений в Горном улусе на 2020-2024 годы</t>
  </si>
  <si>
    <t>2. Укрепление общественного порядка</t>
  </si>
  <si>
    <t>ВЦП "Развитие информационного общества в МР "Горный улус" на 2020-2024 годы"</t>
  </si>
  <si>
    <t>Ведомственная целевая программа«Развитие информационного общества в МР "Горный улус" на 2020-2024 годы»</t>
  </si>
  <si>
    <t>Развитие информационного общества в МР "Горный улус" на 2020-2024 годы</t>
  </si>
  <si>
    <t>Цель - Применение современных информационных и телекоммуникационных технологий и обеспечение информационной открытости для повышения качества жизни граждан.</t>
  </si>
  <si>
    <t>Проведено-выступлений по коронавирусной инфекции-14, размещено объявлений -23</t>
  </si>
  <si>
    <t>Контракт заключен с ИП Слепцов И.Н.
Подготовлены:
Репортаж-2
Передача-2
Ролик-5
Ютуб канал новостные программы-31</t>
  </si>
  <si>
    <t xml:space="preserve">Органы МСУ перешли  на новую систему «Единая система электронного документооборота» (далее – ЕСЭД). Оператором ЕСЭД является ГБУ РЦИТ                                                                                                   </t>
  </si>
  <si>
    <t>Межмуниципальная  программа «Развитие предпринимательства и туризма в Горном улусе на 2020-2024 годы»</t>
  </si>
  <si>
    <t>Цель - создание и обеспечение благоприятных условий для развития и повышения конкурентноспособности малого и среднего предпринимательства на территории Горного улуса</t>
  </si>
  <si>
    <t>Увеличение количества СМСП, получивших фин.поддержку,  обусловлено тем , что из местного бюджета были выделены ден. средства для СМСП деятельность которых наиболее пострадала от последствий (COVID-19)</t>
  </si>
  <si>
    <t>Развитие туризма в Горном улусе</t>
  </si>
  <si>
    <t>Значения по показателям оборот продукции субъектов малого и среднего предпринимательства и объем отгруженных товаров собственного производства, выполненных работ и услуг снизилось в связи с тем, что количество субъектов малого и среднего предпринимательства сократилось. Будут исключены из индикаторов муниципальной программы, в связи с тем, что данные по вышеуказанным индикаторам формируются по итогам Сплошного наблюдения за деятельностью субъектов малого и среднего предпринимательства проводимый один раз в 5 лет.</t>
  </si>
  <si>
    <t>Строительство конебаз. Материально-техническое обеспечение</t>
  </si>
  <si>
    <t xml:space="preserve">Просроченная задолженность от аренды имущества уменьшилась на 89,6%, план выполнен, арендаторы должники СХППК «Горный Ас» полностью оплатили задолженность в размере 1448,39 тыс. руб., ИП Платонов А.Д. оплатил 89,2 тыс. руб. А также, в связи с банкротством, на основании Акта №1 о признании дебиторской задолженности сомнительной или безнадежной к взысканию от 19.03.2020 г., задолженность СХППК «Маай» в сумме 811,94 тыс. руб. списана, в связи с истечением срока исковой давности. </t>
  </si>
  <si>
    <t>Просроченная задолженность от аренды неразграниченных земель уменьшилась на 17,2%.</t>
  </si>
  <si>
    <t xml:space="preserve">Проведение комплексных кадастровых работ – выполнено. На основании Соглашения с МО «Маганинский наслег» №3 от 03.04.2020 по передаче полномочий заказчика комплексных кадастровых работ, финансовые средства перечислены в бюджет МО «Маганинский наслег». </t>
  </si>
  <si>
    <t>всего в улусе 21 общественных инспекторов</t>
  </si>
  <si>
    <t>Из-за пандемии не проведена деловая игра «Команда главы»</t>
  </si>
  <si>
    <t>МП «Развитие физической культуры и спорта в МР «Горный улус» на 2018-2024 годы»</t>
  </si>
  <si>
    <t>МП«Развитие физической культуры и спорта в МР «Горный улус» на 2018-2024 годы»</t>
  </si>
  <si>
    <t>Муниципальная программа «Развитие физической культуры и спорта в МР «Горный улус» на 2018-2024 годы»</t>
  </si>
  <si>
    <t>Развитие физической культуры и спорта в МР «Горный улус» на 2018-2024 годы</t>
  </si>
  <si>
    <t>Цель-Создание условий для устойчивого и динамичного развития физической культуры и спорта в МР «Горный улус»</t>
  </si>
  <si>
    <t xml:space="preserve">МП «Молодежная политика Горного улуса на 2020 - 2024 годы» </t>
  </si>
  <si>
    <t xml:space="preserve">МП«Молодежная политика Горного улуса на 2020 - 2024 годы» </t>
  </si>
  <si>
    <t xml:space="preserve">Муниципальная программа «Молодежная политика Горного улуса на 2020 - 2024 годы» </t>
  </si>
  <si>
    <t>Молодежная политика Горного улуса на 2020 - 2024 годы</t>
  </si>
  <si>
    <t>Цель - Создание условий для успешной социализации и эффективной самореализации молодежи, развития потенциала молодежи в интересах развития улуса.</t>
  </si>
  <si>
    <t>МП«Управление муниципальной собственностью МР "Горный улус"  на 2020-2024 годы»</t>
  </si>
  <si>
    <t>МП «Управление муниципальной собственностью МР "Горный улус"  на 2020-2024 годы»</t>
  </si>
  <si>
    <t>Муниципальная программа «Управление муниципальной собственностью МР "Горный улус"  на 2020-2024 годы»</t>
  </si>
  <si>
    <t>Управление муниципальной собственностью МР "Горный улус"  на 2020-2024 годы</t>
  </si>
  <si>
    <t>«Управление муниципальной собственностью МР "Горный улус"  на 2020-2024 годы»</t>
  </si>
  <si>
    <t>Цель - Организация и совершенствование системы управления муниципальной собственностью, земельными ресурсами.</t>
  </si>
  <si>
    <t>1. Основное мероприятие «Формирование, учет и мониторинг муниципальной собственности»</t>
  </si>
  <si>
    <t>2. Основное мероприятие «Управление муниципальным имуществом»</t>
  </si>
  <si>
    <t>1. Основное мероприятие «Формирование муниципальной собственности на землю»</t>
  </si>
  <si>
    <t xml:space="preserve">2. Основное мероприятие «Эффективное управление, владение, пользование и распоряжение земельными участками
и распоряжение ЗУ»
</t>
  </si>
  <si>
    <t>3. Основное мероприятие «Обеспечение рационального использования территорий поселений</t>
  </si>
  <si>
    <t>Цель-Создание условий для эффективного и ответственного управления муниципальными финансами, повышение устойчивости консолидированного бюджета муниципального района «Горный улус» на 2020-2024 годы, определение условий долгосрочного социально-экономического развития</t>
  </si>
  <si>
    <t>МП«Развитие сельскохозяйственного производства в МР «Горный улус» на период 2018-2022 годы"</t>
  </si>
  <si>
    <t>Техническое перевооружение и модернизация производства</t>
  </si>
  <si>
    <t>Финансовое обеспечение (возмещение) затрат по обновлению оборудования</t>
  </si>
  <si>
    <t>Создание убойного пункта</t>
  </si>
  <si>
    <t>Финансовое обеспечение (возмещение) затрат по строительству убойного пункта</t>
  </si>
  <si>
    <t>Устойчивое развитие сельских территорий</t>
  </si>
  <si>
    <t>Обеспечение жильем граждан и молодых семей, проживающих в сельской местности</t>
  </si>
  <si>
    <t>Предоставление социальных выплат на строительство (приобретение) жилья, а также субсидируемых кредитов сельхозтоваропроизводителям на жилищное строительство;</t>
  </si>
  <si>
    <t>Комплексное обустройство населенных пунктов</t>
  </si>
  <si>
    <t>Грантовая поддержка местных инициатив</t>
  </si>
  <si>
    <t>Создание общих условий функционирования сельского хозяйства</t>
  </si>
  <si>
    <t>Поддержка сельхозтоваропроизводителей в части обеспечения заемными средствами</t>
  </si>
  <si>
    <t>Кадровое обеспечение</t>
  </si>
  <si>
    <t>Организация повышения квалификации специалистов АПК улуса на курсах и в высших учебных заведениях</t>
  </si>
  <si>
    <t>Развитие кооперации и малых форм хозяйствования на селе</t>
  </si>
  <si>
    <t>Поддержка фермерства</t>
  </si>
  <si>
    <t>Поддержка начинающих фермеров</t>
  </si>
  <si>
    <t>Развитие семейных животноводчеких ферм на базе КФХ</t>
  </si>
  <si>
    <t>Муниципальные мероприятия</t>
  </si>
  <si>
    <t>Улусная ярмарка-выставка "Урожай"</t>
  </si>
  <si>
    <t>Улусная ярмарка "Идэьэ"</t>
  </si>
  <si>
    <t>День сельского хозяйства</t>
  </si>
  <si>
    <t>Улусное меропритяие "Конные скачки"</t>
  </si>
  <si>
    <t>Улусный конкурс косарей "Куулэй"</t>
  </si>
  <si>
    <t>Республиканские мероприятия</t>
  </si>
  <si>
    <t>Финансовое обеспечение (возмещение) затрат на проведение мероприятий республиканского масштаба</t>
  </si>
  <si>
    <t>Развитие сельскохозяйственного производства в МР «Горный улус» РС(Я) на 2018-2022 годы</t>
  </si>
  <si>
    <t>Цель  - Комплексное развитие отрасли, реализация культурного интеллектуального потенциала улуса и повышение качества, доступности услуг в сфере культуры.</t>
  </si>
  <si>
    <t>доп ВБД 1311,260</t>
  </si>
  <si>
    <t xml:space="preserve">По выделенной квоте социальную выплату получили 2 многодетные семьи (Асыма и Орто-Сурт.) </t>
  </si>
  <si>
    <t>МП  «Энергосбережение на территории МР "Горный улус" на 2020-2024 годы»</t>
  </si>
  <si>
    <t>МП «Энергосбережение на территории МР "Горный улус" на 2020-2024 годы»</t>
  </si>
  <si>
    <t>ВЦП"Охрана труда в МР «Горный улус» на 2020-2024годы"</t>
  </si>
  <si>
    <t xml:space="preserve">ВЦП«Повышение эффективности управления муниципальными финансами в МР «Горный улус» на 2020-2024 годы»  </t>
  </si>
  <si>
    <t xml:space="preserve">МП«Развитие сельскохозяйственного производства в МР «Горный улус» РС(Я) на 2018-2022 годы» </t>
  </si>
  <si>
    <t xml:space="preserve">ВЦП «Повышение эффективности управления муниципальными финансами в МР «Горный улус» на 2020-2024 годы»  </t>
  </si>
  <si>
    <t>Ведомственная целевая программа «Охрана труда в МР «Горный улус» на 2020-2024годы»</t>
  </si>
  <si>
    <t xml:space="preserve">Ведомственная целевая программа "Повышение эффективности управления муниципальными финансами в МР «Горный улус» на 2020-2024 годы "  </t>
  </si>
  <si>
    <t>Охрана труда в МР «Горный улус» на 2020-2024годы</t>
  </si>
  <si>
    <t>МП «Охрана окружающей среды в Горном улусе на 2017-2024 годы»</t>
  </si>
  <si>
    <t>МП«Охрана окружающей среды в Горном улусе  на 2017-2024 годы»</t>
  </si>
  <si>
    <t>Муниципальная программа «Охрана окружающей среды в Горном улусе на 2017-2024 годы»</t>
  </si>
  <si>
    <t>Охрана окружающей среды в Горном улусе на 2017-2024 годы</t>
  </si>
  <si>
    <t>Охрана окружающей среды в Горном улусе  на 2017-2024 годы</t>
  </si>
  <si>
    <t>МП «Создание условий для духовно-культурного развития граждан Горного улуса  на 2020 - 2024 годы»</t>
  </si>
  <si>
    <t xml:space="preserve"> Муниципальная программа "Создание условий для духовно-культурного развития граждан Горного улуса  на 2020 - 2024 годы"</t>
  </si>
  <si>
    <t>Создание условий для духовно-культурного развития граждан Горного улуса  на 2020 - 2024 годы</t>
  </si>
  <si>
    <t>МП"Газификация населенных пунктов муниципального района «Горный улус» на 2019-2023 годы"</t>
  </si>
  <si>
    <t>Муниципальная программа «Газификация населенных пунктов муниципального района «Горный улус» на 2019-2023 годы»</t>
  </si>
  <si>
    <t>Газификация населенных пунктов муниципального района «Горный улус» на 2019-2023 годы</t>
  </si>
  <si>
    <t>МП"Развитие образования муниципального района  «Горный улус» на 2020-2024 годы"</t>
  </si>
  <si>
    <t>МП"Развитие образования муниципального района «Горный улус» на 2020-2024 годы»</t>
  </si>
  <si>
    <t>Муниципальная программа «Развитие образования муниципального района  «Горный улус» на 2020-2024 годы»</t>
  </si>
  <si>
    <t>Развитие образования муниципального района «Горный улус» на 2020-2024 годы</t>
  </si>
  <si>
    <t>МП"Комплексное развитие сельских территорий в Горном улусе на 2020-2025 годы"</t>
  </si>
  <si>
    <t>МП«Комплексное развитие сельских территорий в Горном улусе на 2020-2025 годы»</t>
  </si>
  <si>
    <t xml:space="preserve">Муниципальная программа "Комплексное развитие сельских территорий в Горном улусе на 2020-2025 годы"
</t>
  </si>
  <si>
    <t>Комплексное развитие сельских территорий в Горном улусе на 2020-2025 годы</t>
  </si>
  <si>
    <t xml:space="preserve">В феврале месяце 2020 г. на семинаре по охране труда и пожарной безопасности прошли обучение  12 специалистов учреждений культуры. </t>
  </si>
  <si>
    <t xml:space="preserve">*12 мес первоначальная роспись, годовой по паспорту </t>
  </si>
  <si>
    <t>об исполнении ведомственных целевых и муниципальных программ МР "Горный улус" за 2020 год</t>
  </si>
  <si>
    <t>Отчет о достигнутых значениях целевых показателей муниципальных программ МР "Горный улус" за 2020 год</t>
  </si>
  <si>
    <t>Оценка эффективности реализации ведомственных целевых и муниципальных программ МР "Горный улус" за 2020 год</t>
  </si>
  <si>
    <t xml:space="preserve">Отчет финансирования муниципальных программ МР "Горный улус" за 2020 год  </t>
  </si>
  <si>
    <t>Обеспечение жилыми помещениями детей-сирот и детей, оставшихся без попечения родителей</t>
  </si>
  <si>
    <t>Укрепление института семьи</t>
  </si>
  <si>
    <t>Приобретение и сопровождение сертифицированного программного обеспечения для организации защищенного обмена информацией Антивирус Dr-Web</t>
  </si>
  <si>
    <t>Повышение квалификации руководителей и специалистов орана управления образования</t>
  </si>
  <si>
    <t xml:space="preserve">   Из ФБ и РБ: 1.По газификации с.Бердигестях Горного улуса. Заказчиком выступает Дирекция по строительству МСХ РС(Я), по итогам конкурсных процедур определены подрядные организации по этапам пусковых комплексов:                    - 1 пусковой комплекс. 3 этап – ООО «Промэнергогаз» - срок завершения 2021 год;
- 1 пусковой комплекс. 4 этап – ООО «Восток Капитал» - срок завершения 2020 год;
- 2 пусковой комплекс. 1 этап – ООО «СахаАльтаТрейд» - срок завершения 2021 год.
2.По переводу котельных на газовое топливо в 2020 году силами ГУП «ЖКХ РС(Я)» выполняются работы по переводу на газовое топливо котельных «Центральная» с.Асыма, «МПМК», «Баня», Аэропорт» с.Бердигестях.</t>
  </si>
  <si>
    <t>МП «Газификация населенных пунктов муниципального района «Горный улус» на 2019-2023 годы»</t>
  </si>
  <si>
    <t>в разработке</t>
  </si>
  <si>
    <t>Связи с пандемией COVID-19, мероприятия не проводились. Разрабатывается учебное пособие для населения по финансовой грамотности</t>
  </si>
  <si>
    <t>Пояснения</t>
  </si>
  <si>
    <t xml:space="preserve">Начальник отдела стратегического планирования </t>
  </si>
  <si>
    <t>Максимова М.В.</t>
  </si>
  <si>
    <t xml:space="preserve">Исп.: главный специалист УЭР Данилова Л.И. </t>
  </si>
  <si>
    <t>Начальник отдела стратегического планирования УЭР</t>
  </si>
  <si>
    <t xml:space="preserve">Исп: главный специалист УЭР Данилова Л.И.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</si>
</sst>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0.0"/>
    <numFmt numFmtId="165" formatCode="0.000"/>
    <numFmt numFmtId="166" formatCode="#,##0.0"/>
    <numFmt numFmtId="167" formatCode="_-* #,##0.00_р_._-;\-* #,##0.00_р_._-;_-* &quot;-&quot;??_р_._-;_-@_-"/>
    <numFmt numFmtId="168" formatCode="#,##0.000"/>
    <numFmt numFmtId="169" formatCode="[$-F400]h:mm:ss\ AM/PM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9" fillId="0" borderId="0"/>
    <xf numFmtId="0" fontId="19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164" fontId="17" fillId="0" borderId="0">
      <alignment vertical="top" wrapText="1"/>
    </xf>
    <xf numFmtId="0" fontId="11" fillId="0" borderId="0"/>
    <xf numFmtId="0" fontId="11" fillId="0" borderId="0"/>
    <xf numFmtId="0" fontId="11" fillId="0" borderId="0"/>
    <xf numFmtId="167" fontId="11" fillId="0" borderId="0" applyFont="0" applyFill="0" applyBorder="0" applyAlignment="0" applyProtection="0"/>
    <xf numFmtId="4" fontId="25" fillId="8" borderId="11">
      <alignment horizontal="right" vertical="top" shrinkToFit="1"/>
    </xf>
    <xf numFmtId="0" fontId="26" fillId="8" borderId="11">
      <alignment horizontal="right" vertical="top" shrinkToFit="1"/>
    </xf>
    <xf numFmtId="0" fontId="29" fillId="0" borderId="0"/>
    <xf numFmtId="0" fontId="11" fillId="0" borderId="0"/>
    <xf numFmtId="0" fontId="11" fillId="0" borderId="0"/>
    <xf numFmtId="0" fontId="25" fillId="0" borderId="11">
      <alignment vertical="top" wrapText="1"/>
    </xf>
    <xf numFmtId="10" fontId="26" fillId="8" borderId="11">
      <alignment horizontal="right" vertical="top" shrinkToFit="1"/>
    </xf>
    <xf numFmtId="169" fontId="26" fillId="8" borderId="11">
      <alignment horizontal="right" vertical="top" shrinkToFit="1"/>
    </xf>
    <xf numFmtId="0" fontId="19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</cellStyleXfs>
  <cellXfs count="878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justify"/>
    </xf>
    <xf numFmtId="0" fontId="8" fillId="0" borderId="1" xfId="0" applyFont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6" applyFont="1" applyFill="1" applyBorder="1" applyAlignment="1">
      <alignment horizontal="center" vertical="center"/>
    </xf>
    <xf numFmtId="0" fontId="8" fillId="0" borderId="1" xfId="6" applyFont="1" applyBorder="1" applyAlignment="1">
      <alignment horizontal="center" vertical="center" wrapText="1"/>
    </xf>
    <xf numFmtId="1" fontId="8" fillId="0" borderId="1" xfId="6" applyNumberFormat="1" applyFont="1" applyBorder="1" applyAlignment="1">
      <alignment horizontal="center" vertical="center" wrapText="1"/>
    </xf>
    <xf numFmtId="0" fontId="8" fillId="3" borderId="1" xfId="6" applyFont="1" applyFill="1" applyBorder="1" applyAlignment="1">
      <alignment horizontal="center" vertical="center" wrapText="1"/>
    </xf>
    <xf numFmtId="1" fontId="8" fillId="3" borderId="1" xfId="6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64" fontId="8" fillId="3" borderId="1" xfId="6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8" fillId="2" borderId="1" xfId="8" applyFont="1" applyFill="1" applyBorder="1"/>
    <xf numFmtId="0" fontId="8" fillId="2" borderId="0" xfId="8" applyFont="1" applyFill="1" applyAlignment="1">
      <alignment wrapText="1"/>
    </xf>
    <xf numFmtId="0" fontId="8" fillId="2" borderId="0" xfId="8" applyFont="1" applyFill="1"/>
    <xf numFmtId="0" fontId="8" fillId="2" borderId="0" xfId="8" applyFont="1" applyFill="1" applyAlignment="1">
      <alignment horizontal="center"/>
    </xf>
    <xf numFmtId="0" fontId="8" fillId="2" borderId="0" xfId="8" applyFont="1" applyFill="1" applyAlignment="1">
      <alignment vertical="center"/>
    </xf>
    <xf numFmtId="0" fontId="8" fillId="2" borderId="8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vertical="center"/>
    </xf>
    <xf numFmtId="0" fontId="8" fillId="2" borderId="8" xfId="8" applyFont="1" applyFill="1" applyBorder="1" applyAlignment="1">
      <alignment horizontal="left" vertical="center" wrapText="1"/>
    </xf>
    <xf numFmtId="2" fontId="8" fillId="0" borderId="1" xfId="8" applyNumberFormat="1" applyFont="1" applyBorder="1" applyAlignment="1">
      <alignment horizontal="center" vertical="center"/>
    </xf>
    <xf numFmtId="164" fontId="8" fillId="2" borderId="1" xfId="8" applyNumberFormat="1" applyFont="1" applyFill="1" applyBorder="1" applyAlignment="1">
      <alignment horizontal="center" vertical="center"/>
    </xf>
    <xf numFmtId="0" fontId="7" fillId="2" borderId="0" xfId="8" applyFont="1" applyFill="1" applyAlignment="1">
      <alignment vertical="center"/>
    </xf>
    <xf numFmtId="4" fontId="8" fillId="0" borderId="1" xfId="9" applyNumberFormat="1" applyFont="1" applyBorder="1" applyAlignment="1">
      <alignment horizontal="center" vertical="center"/>
    </xf>
    <xf numFmtId="0" fontId="8" fillId="0" borderId="8" xfId="8" applyFont="1" applyBorder="1" applyAlignment="1">
      <alignment horizontal="left" vertical="center" wrapText="1"/>
    </xf>
    <xf numFmtId="0" fontId="8" fillId="0" borderId="1" xfId="8" applyFont="1" applyBorder="1" applyAlignment="1">
      <alignment horizontal="center" vertical="center"/>
    </xf>
    <xf numFmtId="0" fontId="8" fillId="0" borderId="1" xfId="8" applyFont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  <xf numFmtId="164" fontId="8" fillId="0" borderId="1" xfId="8" applyNumberFormat="1" applyFont="1" applyBorder="1" applyAlignment="1">
      <alignment horizontal="center" vertical="center"/>
    </xf>
    <xf numFmtId="164" fontId="8" fillId="0" borderId="1" xfId="9" applyNumberFormat="1" applyFont="1" applyBorder="1" applyAlignment="1">
      <alignment horizontal="center" vertical="center"/>
    </xf>
    <xf numFmtId="0" fontId="8" fillId="6" borderId="8" xfId="8" applyFont="1" applyFill="1" applyBorder="1" applyAlignment="1">
      <alignment vertical="center" wrapText="1"/>
    </xf>
    <xf numFmtId="0" fontId="8" fillId="0" borderId="1" xfId="9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8" fillId="0" borderId="8" xfId="9" applyFont="1" applyBorder="1" applyAlignment="1">
      <alignment vertical="center" wrapText="1"/>
    </xf>
    <xf numFmtId="0" fontId="8" fillId="6" borderId="8" xfId="7" applyFont="1" applyFill="1" applyBorder="1" applyAlignment="1">
      <alignment vertical="center" wrapText="1"/>
    </xf>
    <xf numFmtId="3" fontId="8" fillId="3" borderId="1" xfId="9" applyNumberFormat="1" applyFont="1" applyFill="1" applyBorder="1" applyAlignment="1">
      <alignment horizontal="center" vertical="center"/>
    </xf>
    <xf numFmtId="0" fontId="8" fillId="3" borderId="1" xfId="8" applyFont="1" applyFill="1" applyBorder="1"/>
    <xf numFmtId="0" fontId="8" fillId="3" borderId="0" xfId="8" applyFont="1" applyFill="1"/>
    <xf numFmtId="0" fontId="8" fillId="3" borderId="1" xfId="8" applyFont="1" applyFill="1" applyBorder="1" applyAlignment="1">
      <alignment vertical="center"/>
    </xf>
    <xf numFmtId="0" fontId="8" fillId="3" borderId="8" xfId="2" applyFont="1" applyFill="1" applyBorder="1" applyAlignment="1">
      <alignment horizontal="left" vertical="center" wrapText="1"/>
    </xf>
    <xf numFmtId="1" fontId="8" fillId="3" borderId="1" xfId="2" applyNumberFormat="1" applyFont="1" applyFill="1" applyBorder="1" applyAlignment="1">
      <alignment horizontal="center" wrapText="1"/>
    </xf>
    <xf numFmtId="1" fontId="8" fillId="3" borderId="1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wrapText="1"/>
    </xf>
    <xf numFmtId="2" fontId="8" fillId="3" borderId="1" xfId="2" applyNumberFormat="1" applyFont="1" applyFill="1" applyBorder="1" applyAlignment="1">
      <alignment horizontal="center" wrapText="1"/>
    </xf>
    <xf numFmtId="164" fontId="8" fillId="3" borderId="1" xfId="2" applyNumberFormat="1" applyFont="1" applyFill="1" applyBorder="1" applyAlignment="1">
      <alignment horizontal="center" wrapText="1"/>
    </xf>
    <xf numFmtId="2" fontId="8" fillId="3" borderId="1" xfId="2" applyNumberFormat="1" applyFont="1" applyFill="1" applyBorder="1" applyAlignment="1">
      <alignment horizontal="center" vertical="center" wrapText="1"/>
    </xf>
    <xf numFmtId="0" fontId="8" fillId="3" borderId="8" xfId="9" applyFont="1" applyFill="1" applyBorder="1" applyAlignment="1">
      <alignment vertical="center" wrapText="1"/>
    </xf>
    <xf numFmtId="0" fontId="8" fillId="3" borderId="8" xfId="9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164" fontId="8" fillId="3" borderId="1" xfId="8" applyNumberFormat="1" applyFont="1" applyFill="1" applyBorder="1" applyAlignment="1">
      <alignment horizontal="center" vertical="center"/>
    </xf>
    <xf numFmtId="0" fontId="8" fillId="7" borderId="1" xfId="8" applyFont="1" applyFill="1" applyBorder="1"/>
    <xf numFmtId="0" fontId="8" fillId="7" borderId="0" xfId="8" applyFont="1" applyFill="1"/>
    <xf numFmtId="0" fontId="8" fillId="3" borderId="8" xfId="8" applyFont="1" applyFill="1" applyBorder="1" applyAlignment="1">
      <alignment horizontal="left" vertical="center" wrapText="1"/>
    </xf>
    <xf numFmtId="0" fontId="8" fillId="3" borderId="8" xfId="8" applyFont="1" applyFill="1" applyBorder="1" applyAlignment="1">
      <alignment vertical="center" wrapText="1"/>
    </xf>
    <xf numFmtId="0" fontId="8" fillId="3" borderId="1" xfId="8" applyFont="1" applyFill="1" applyBorder="1" applyAlignment="1">
      <alignment vertical="center" wrapText="1"/>
    </xf>
    <xf numFmtId="0" fontId="24" fillId="2" borderId="1" xfId="8" applyFont="1" applyFill="1" applyBorder="1" applyAlignment="1">
      <alignment horizontal="left"/>
    </xf>
    <xf numFmtId="0" fontId="24" fillId="2" borderId="0" xfId="8" applyFont="1" applyFill="1" applyAlignment="1">
      <alignment horizontal="left"/>
    </xf>
    <xf numFmtId="0" fontId="8" fillId="3" borderId="8" xfId="6" applyFont="1" applyFill="1" applyBorder="1" applyAlignment="1">
      <alignment vertical="center" wrapText="1"/>
    </xf>
    <xf numFmtId="0" fontId="8" fillId="0" borderId="1" xfId="10" applyFont="1" applyBorder="1" applyAlignment="1">
      <alignment horizontal="center" vertical="center" wrapText="1"/>
    </xf>
    <xf numFmtId="0" fontId="8" fillId="3" borderId="8" xfId="9" applyFont="1" applyFill="1" applyBorder="1" applyAlignment="1">
      <alignment horizontal="left" vertical="center"/>
    </xf>
    <xf numFmtId="0" fontId="8" fillId="0" borderId="1" xfId="10" applyFont="1" applyBorder="1" applyAlignment="1">
      <alignment horizontal="center" vertical="center"/>
    </xf>
    <xf numFmtId="0" fontId="8" fillId="3" borderId="8" xfId="9" applyFont="1" applyFill="1" applyBorder="1" applyAlignment="1">
      <alignment vertical="center"/>
    </xf>
    <xf numFmtId="0" fontId="8" fillId="0" borderId="0" xfId="9" applyFont="1" applyAlignment="1">
      <alignment horizontal="left" vertical="top" wrapText="1"/>
    </xf>
    <xf numFmtId="0" fontId="8" fillId="0" borderId="8" xfId="9" applyFont="1" applyBorder="1" applyAlignment="1">
      <alignment horizontal="left" vertical="center" wrapText="1"/>
    </xf>
    <xf numFmtId="164" fontId="8" fillId="0" borderId="1" xfId="9" applyNumberFormat="1" applyFont="1" applyBorder="1" applyAlignment="1">
      <alignment horizontal="center" vertical="center" wrapText="1"/>
    </xf>
    <xf numFmtId="0" fontId="24" fillId="2" borderId="1" xfId="8" applyFont="1" applyFill="1" applyBorder="1" applyAlignment="1">
      <alignment horizontal="center"/>
    </xf>
    <xf numFmtId="0" fontId="24" fillId="2" borderId="0" xfId="8" applyFont="1" applyFill="1" applyAlignment="1">
      <alignment horizontal="center"/>
    </xf>
    <xf numFmtId="0" fontId="8" fillId="2" borderId="8" xfId="8" applyFont="1" applyFill="1" applyBorder="1" applyAlignment="1">
      <alignment vertical="center" wrapText="1"/>
    </xf>
    <xf numFmtId="0" fontId="8" fillId="0" borderId="8" xfId="9" applyFont="1" applyBorder="1" applyAlignment="1">
      <alignment horizontal="justify" vertical="center" wrapText="1"/>
    </xf>
    <xf numFmtId="0" fontId="24" fillId="2" borderId="1" xfId="8" applyFont="1" applyFill="1" applyBorder="1"/>
    <xf numFmtId="0" fontId="24" fillId="2" borderId="0" xfId="8" applyFont="1" applyFill="1"/>
    <xf numFmtId="3" fontId="8" fillId="3" borderId="1" xfId="9" applyNumberFormat="1" applyFont="1" applyFill="1" applyBorder="1" applyAlignment="1">
      <alignment horizontal="center" vertical="center" wrapText="1"/>
    </xf>
    <xf numFmtId="0" fontId="8" fillId="3" borderId="1" xfId="9" applyFont="1" applyFill="1" applyBorder="1" applyAlignment="1">
      <alignment horizontal="left" vertical="center" wrapText="1"/>
    </xf>
    <xf numFmtId="0" fontId="8" fillId="0" borderId="8" xfId="2" applyFont="1" applyBorder="1" applyAlignment="1">
      <alignment horizontal="justify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9" fontId="8" fillId="0" borderId="1" xfId="5" applyFont="1" applyBorder="1" applyAlignment="1">
      <alignment horizontal="center" vertical="center" wrapText="1"/>
    </xf>
    <xf numFmtId="2" fontId="8" fillId="2" borderId="1" xfId="8" applyNumberFormat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justify" vertical="center" wrapText="1"/>
    </xf>
    <xf numFmtId="0" fontId="8" fillId="3" borderId="1" xfId="12" applyFont="1" applyFill="1" applyBorder="1" applyAlignment="1">
      <alignment horizontal="center" vertical="center" wrapText="1"/>
    </xf>
    <xf numFmtId="0" fontId="8" fillId="2" borderId="2" xfId="8" applyFont="1" applyFill="1" applyBorder="1"/>
    <xf numFmtId="0" fontId="8" fillId="0" borderId="1" xfId="2" applyFont="1" applyBorder="1" applyAlignment="1">
      <alignment horizontal="justify" vertical="top" wrapText="1"/>
    </xf>
    <xf numFmtId="164" fontId="8" fillId="0" borderId="1" xfId="13" applyFont="1" applyBorder="1" applyAlignment="1">
      <alignment horizontal="center" vertical="center" wrapText="1"/>
    </xf>
    <xf numFmtId="0" fontId="8" fillId="2" borderId="1" xfId="8" applyFont="1" applyFill="1" applyBorder="1" applyAlignment="1">
      <alignment wrapText="1"/>
    </xf>
    <xf numFmtId="0" fontId="8" fillId="0" borderId="1" xfId="12" applyFont="1" applyBorder="1" applyAlignment="1">
      <alignment horizontal="center" vertical="center" wrapText="1"/>
    </xf>
    <xf numFmtId="1" fontId="8" fillId="0" borderId="1" xfId="9" applyNumberFormat="1" applyFont="1" applyBorder="1" applyAlignment="1">
      <alignment horizontal="center" vertical="center" wrapText="1"/>
    </xf>
    <xf numFmtId="0" fontId="8" fillId="2" borderId="5" xfId="8" applyFont="1" applyFill="1" applyBorder="1"/>
    <xf numFmtId="0" fontId="8" fillId="0" borderId="1" xfId="11" applyFont="1" applyBorder="1" applyAlignment="1">
      <alignment horizontal="left" vertical="center" wrapText="1"/>
    </xf>
    <xf numFmtId="0" fontId="8" fillId="0" borderId="1" xfId="14" applyFont="1" applyBorder="1" applyAlignment="1">
      <alignment horizontal="left" vertical="center" wrapText="1"/>
    </xf>
    <xf numFmtId="0" fontId="8" fillId="0" borderId="1" xfId="15" applyFont="1" applyBorder="1" applyAlignment="1">
      <alignment horizontal="center" vertical="center" wrapText="1"/>
    </xf>
    <xf numFmtId="0" fontId="8" fillId="0" borderId="1" xfId="16" applyFont="1" applyBorder="1" applyAlignment="1">
      <alignment horizontal="left" vertical="center" wrapText="1"/>
    </xf>
    <xf numFmtId="0" fontId="8" fillId="0" borderId="1" xfId="16" applyFont="1" applyBorder="1" applyAlignment="1">
      <alignment horizontal="center" vertical="center" wrapText="1"/>
    </xf>
    <xf numFmtId="1" fontId="8" fillId="2" borderId="1" xfId="8" applyNumberFormat="1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0" borderId="0" xfId="8" applyFont="1"/>
    <xf numFmtId="0" fontId="8" fillId="2" borderId="8" xfId="9" applyFont="1" applyFill="1" applyBorder="1" applyAlignment="1">
      <alignment horizontal="justify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2" borderId="8" xfId="9" applyFont="1" applyFill="1" applyBorder="1" applyAlignment="1">
      <alignment vertical="center" wrapText="1"/>
    </xf>
    <xf numFmtId="0" fontId="8" fillId="0" borderId="0" xfId="9" applyFont="1" applyAlignment="1">
      <alignment vertical="center" wrapText="1"/>
    </xf>
    <xf numFmtId="0" fontId="8" fillId="0" borderId="1" xfId="9" applyFont="1" applyBorder="1" applyAlignment="1">
      <alignment horizontal="left" vertical="center" wrapText="1"/>
    </xf>
    <xf numFmtId="0" fontId="8" fillId="3" borderId="7" xfId="6" applyFont="1" applyFill="1" applyBorder="1" applyAlignment="1">
      <alignment vertical="center" wrapText="1"/>
    </xf>
    <xf numFmtId="0" fontId="20" fillId="3" borderId="1" xfId="6" applyFont="1" applyFill="1" applyBorder="1" applyAlignment="1">
      <alignment horizontal="center" vertical="center"/>
    </xf>
    <xf numFmtId="0" fontId="8" fillId="3" borderId="8" xfId="6" applyFont="1" applyFill="1" applyBorder="1" applyAlignment="1">
      <alignment horizontal="justify" vertical="center" wrapText="1"/>
    </xf>
    <xf numFmtId="164" fontId="22" fillId="3" borderId="1" xfId="9" applyNumberFormat="1" applyFont="1" applyFill="1" applyBorder="1" applyAlignment="1">
      <alignment horizontal="center" vertical="center" wrapText="1"/>
    </xf>
    <xf numFmtId="0" fontId="22" fillId="3" borderId="1" xfId="9" applyFont="1" applyFill="1" applyBorder="1" applyAlignment="1">
      <alignment horizontal="center" vertical="center" wrapText="1"/>
    </xf>
    <xf numFmtId="4" fontId="8" fillId="3" borderId="1" xfId="6" applyNumberFormat="1" applyFont="1" applyFill="1" applyBorder="1" applyAlignment="1">
      <alignment horizontal="center" vertical="center" wrapText="1"/>
    </xf>
    <xf numFmtId="3" fontId="8" fillId="3" borderId="1" xfId="6" applyNumberFormat="1" applyFont="1" applyFill="1" applyBorder="1" applyAlignment="1">
      <alignment horizontal="center" vertical="center" wrapText="1"/>
    </xf>
    <xf numFmtId="166" fontId="8" fillId="3" borderId="1" xfId="6" applyNumberFormat="1" applyFont="1" applyFill="1" applyBorder="1" applyAlignment="1">
      <alignment horizontal="center" vertical="center" wrapText="1"/>
    </xf>
    <xf numFmtId="0" fontId="24" fillId="3" borderId="8" xfId="6" applyFont="1" applyFill="1" applyBorder="1" applyAlignment="1">
      <alignment vertical="center" wrapText="1"/>
    </xf>
    <xf numFmtId="0" fontId="24" fillId="3" borderId="7" xfId="6" applyFont="1" applyFill="1" applyBorder="1" applyAlignment="1">
      <alignment horizontal="left" vertical="center" wrapText="1"/>
    </xf>
    <xf numFmtId="0" fontId="8" fillId="2" borderId="1" xfId="8" applyFont="1" applyFill="1" applyBorder="1" applyAlignment="1">
      <alignment horizontal="center"/>
    </xf>
    <xf numFmtId="0" fontId="8" fillId="0" borderId="0" xfId="8" applyFont="1" applyAlignment="1">
      <alignment horizontal="center"/>
    </xf>
    <xf numFmtId="0" fontId="8" fillId="4" borderId="1" xfId="9" applyFont="1" applyFill="1" applyBorder="1" applyAlignment="1">
      <alignment vertical="center" wrapText="1"/>
    </xf>
    <xf numFmtId="0" fontId="22" fillId="0" borderId="1" xfId="9" applyFont="1" applyBorder="1" applyAlignment="1">
      <alignment horizontal="center" vertical="center" wrapText="1"/>
    </xf>
    <xf numFmtId="2" fontId="12" fillId="3" borderId="1" xfId="9" applyNumberFormat="1" applyFont="1" applyFill="1" applyBorder="1" applyAlignment="1">
      <alignment horizontal="center" vertical="center"/>
    </xf>
    <xf numFmtId="0" fontId="12" fillId="0" borderId="1" xfId="9" applyFont="1" applyBorder="1" applyAlignment="1">
      <alignment horizontal="center" vertical="center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/>
    <xf numFmtId="2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1" xfId="7" applyFont="1" applyBorder="1" applyAlignment="1">
      <alignment horizontal="center" wrapText="1"/>
    </xf>
    <xf numFmtId="4" fontId="7" fillId="5" borderId="1" xfId="7" applyNumberFormat="1" applyFont="1" applyFill="1" applyBorder="1" applyAlignment="1">
      <alignment horizontal="center" vertical="center" wrapText="1"/>
    </xf>
    <xf numFmtId="4" fontId="7" fillId="3" borderId="1" xfId="7" applyNumberFormat="1" applyFont="1" applyFill="1" applyBorder="1" applyAlignment="1">
      <alignment horizontal="center" vertical="center"/>
    </xf>
    <xf numFmtId="0" fontId="8" fillId="0" borderId="1" xfId="7" applyFont="1" applyBorder="1" applyAlignment="1">
      <alignment horizontal="left" vertical="center" wrapText="1"/>
    </xf>
    <xf numFmtId="4" fontId="8" fillId="3" borderId="1" xfId="7" applyNumberFormat="1" applyFont="1" applyFill="1" applyBorder="1" applyAlignment="1">
      <alignment horizontal="center" vertical="center"/>
    </xf>
    <xf numFmtId="4" fontId="8" fillId="0" borderId="1" xfId="7" applyNumberFormat="1" applyFont="1" applyBorder="1" applyAlignment="1">
      <alignment horizontal="center" vertical="center"/>
    </xf>
    <xf numFmtId="4" fontId="22" fillId="3" borderId="1" xfId="19" applyNumberFormat="1" applyFont="1" applyFill="1" applyBorder="1" applyAlignment="1">
      <alignment horizontal="center" vertical="center" shrinkToFit="1"/>
    </xf>
    <xf numFmtId="4" fontId="7" fillId="5" borderId="1" xfId="7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top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10" applyNumberFormat="1" applyFont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 wrapText="1"/>
    </xf>
    <xf numFmtId="4" fontId="18" fillId="5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justify" wrapText="1"/>
    </xf>
    <xf numFmtId="4" fontId="8" fillId="3" borderId="1" xfId="7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" fontId="7" fillId="0" borderId="1" xfId="7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4" fontId="1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4" fontId="8" fillId="5" borderId="1" xfId="7" applyNumberFormat="1" applyFont="1" applyFill="1" applyBorder="1" applyAlignment="1">
      <alignment horizontal="center" vertical="center" wrapText="1"/>
    </xf>
    <xf numFmtId="4" fontId="8" fillId="0" borderId="1" xfId="10" applyNumberFormat="1" applyFont="1" applyBorder="1" applyAlignment="1">
      <alignment horizontal="center" vertical="center" wrapText="1"/>
    </xf>
    <xf numFmtId="4" fontId="18" fillId="0" borderId="1" xfId="7" applyNumberFormat="1" applyFont="1" applyBorder="1" applyAlignment="1">
      <alignment horizontal="center" vertical="center"/>
    </xf>
    <xf numFmtId="0" fontId="27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4" fontId="12" fillId="0" borderId="1" xfId="7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18" fillId="0" borderId="1" xfId="0" applyFont="1" applyBorder="1" applyAlignment="1">
      <alignment wrapText="1"/>
    </xf>
    <xf numFmtId="4" fontId="18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21" fillId="3" borderId="1" xfId="20" applyFont="1" applyFill="1" applyBorder="1" applyAlignment="1">
      <alignment horizontal="left" vertical="center" wrapText="1"/>
    </xf>
    <xf numFmtId="4" fontId="7" fillId="3" borderId="1" xfId="7" applyNumberFormat="1" applyFont="1" applyFill="1" applyBorder="1" applyAlignment="1">
      <alignment horizontal="center" vertical="center" wrapText="1"/>
    </xf>
    <xf numFmtId="0" fontId="20" fillId="3" borderId="1" xfId="20" applyFont="1" applyFill="1" applyBorder="1" applyAlignment="1">
      <alignment horizontal="left" vertical="center" wrapText="1"/>
    </xf>
    <xf numFmtId="0" fontId="20" fillId="3" borderId="1" xfId="20" applyFont="1" applyFill="1" applyBorder="1" applyAlignment="1">
      <alignment horizontal="left" vertical="top" wrapText="1"/>
    </xf>
    <xf numFmtId="0" fontId="7" fillId="3" borderId="1" xfId="20" applyFont="1" applyFill="1" applyBorder="1" applyAlignment="1">
      <alignment horizontal="left" vertical="top" wrapText="1"/>
    </xf>
    <xf numFmtId="4" fontId="18" fillId="5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4" fontId="7" fillId="0" borderId="1" xfId="7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justify" vertical="top" wrapText="1"/>
    </xf>
    <xf numFmtId="4" fontId="8" fillId="0" borderId="1" xfId="7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top" wrapText="1"/>
    </xf>
    <xf numFmtId="4" fontId="12" fillId="0" borderId="1" xfId="7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wrapText="1"/>
    </xf>
    <xf numFmtId="0" fontId="24" fillId="3" borderId="1" xfId="7" applyFont="1" applyFill="1" applyBorder="1" applyAlignment="1">
      <alignment horizontal="left" vertical="center" wrapText="1"/>
    </xf>
    <xf numFmtId="0" fontId="8" fillId="3" borderId="1" xfId="7" applyFont="1" applyFill="1" applyBorder="1" applyAlignment="1">
      <alignment horizontal="left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left" vertical="center" wrapText="1"/>
    </xf>
    <xf numFmtId="0" fontId="30" fillId="3" borderId="1" xfId="20" applyFont="1" applyFill="1" applyBorder="1" applyAlignment="1">
      <alignment horizontal="left" vertical="center" wrapText="1"/>
    </xf>
    <xf numFmtId="0" fontId="8" fillId="3" borderId="1" xfId="20" applyFont="1" applyFill="1" applyBorder="1" applyAlignment="1">
      <alignment horizontal="left" vertical="center" wrapText="1"/>
    </xf>
    <xf numFmtId="0" fontId="8" fillId="3" borderId="1" xfId="20" applyFont="1" applyFill="1" applyBorder="1" applyAlignment="1">
      <alignment horizontal="left" vertical="top" wrapText="1"/>
    </xf>
    <xf numFmtId="0" fontId="30" fillId="3" borderId="1" xfId="20" applyFont="1" applyFill="1" applyBorder="1" applyAlignment="1">
      <alignment vertical="top" wrapText="1"/>
    </xf>
    <xf numFmtId="0" fontId="20" fillId="3" borderId="1" xfId="20" applyFont="1" applyFill="1" applyBorder="1" applyAlignment="1">
      <alignment horizontal="justify" vertical="center" wrapText="1"/>
    </xf>
    <xf numFmtId="0" fontId="24" fillId="3" borderId="1" xfId="20" applyFont="1" applyFill="1" applyBorder="1" applyAlignment="1">
      <alignment horizontal="left" vertical="center" wrapText="1"/>
    </xf>
    <xf numFmtId="0" fontId="8" fillId="3" borderId="1" xfId="20" applyFont="1" applyFill="1" applyBorder="1" applyAlignment="1">
      <alignment vertical="center" wrapText="1"/>
    </xf>
    <xf numFmtId="0" fontId="30" fillId="3" borderId="1" xfId="20" applyFont="1" applyFill="1" applyBorder="1" applyAlignment="1">
      <alignment horizontal="left" vertical="top" wrapText="1"/>
    </xf>
    <xf numFmtId="0" fontId="30" fillId="3" borderId="1" xfId="20" applyFont="1" applyFill="1" applyBorder="1" applyAlignment="1">
      <alignment horizontal="justify" vertical="center" wrapText="1"/>
    </xf>
    <xf numFmtId="0" fontId="12" fillId="0" borderId="1" xfId="0" applyFont="1" applyBorder="1"/>
    <xf numFmtId="0" fontId="18" fillId="3" borderId="1" xfId="0" applyFont="1" applyFill="1" applyBorder="1" applyAlignment="1">
      <alignment horizontal="left" wrapText="1"/>
    </xf>
    <xf numFmtId="4" fontId="18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13" fillId="3" borderId="1" xfId="0" applyFont="1" applyFill="1" applyBorder="1" applyAlignment="1">
      <alignment horizontal="left" vertical="center" wrapText="1"/>
    </xf>
    <xf numFmtId="167" fontId="12" fillId="0" borderId="0" xfId="0" applyNumberFormat="1" applyFont="1"/>
    <xf numFmtId="0" fontId="14" fillId="0" borderId="0" xfId="0" applyFont="1"/>
    <xf numFmtId="0" fontId="20" fillId="3" borderId="1" xfId="0" applyFont="1" applyFill="1" applyBorder="1" applyAlignment="1" applyProtection="1">
      <alignment horizontal="justify" vertical="center" wrapText="1"/>
      <protection hidden="1"/>
    </xf>
    <xf numFmtId="0" fontId="20" fillId="3" borderId="1" xfId="0" applyFont="1" applyFill="1" applyBorder="1" applyAlignment="1" applyProtection="1">
      <alignment horizontal="center" vertical="center" wrapText="1"/>
      <protection hidden="1"/>
    </xf>
    <xf numFmtId="2" fontId="20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1" xfId="0" applyFont="1" applyFill="1" applyBorder="1" applyAlignment="1" applyProtection="1">
      <alignment horizontal="left" vertical="center" wrapText="1"/>
      <protection hidden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3" fillId="9" borderId="0" xfId="0" applyFont="1" applyFill="1"/>
    <xf numFmtId="2" fontId="33" fillId="9" borderId="0" xfId="0" applyNumberFormat="1" applyFont="1" applyFill="1"/>
    <xf numFmtId="0" fontId="32" fillId="9" borderId="0" xfId="0" applyFont="1" applyFill="1"/>
    <xf numFmtId="2" fontId="32" fillId="9" borderId="0" xfId="0" applyNumberFormat="1" applyFont="1" applyFill="1"/>
    <xf numFmtId="0" fontId="22" fillId="3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8" fillId="3" borderId="1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/>
    </xf>
    <xf numFmtId="0" fontId="8" fillId="3" borderId="1" xfId="9" applyFont="1" applyFill="1" applyBorder="1" applyAlignment="1">
      <alignment horizontal="center" vertical="center" wrapText="1"/>
    </xf>
    <xf numFmtId="0" fontId="8" fillId="3" borderId="1" xfId="9" applyFont="1" applyFill="1" applyBorder="1" applyAlignment="1">
      <alignment vertical="center" wrapText="1"/>
    </xf>
    <xf numFmtId="0" fontId="8" fillId="3" borderId="1" xfId="9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24" fillId="0" borderId="1" xfId="0" applyFont="1" applyBorder="1" applyAlignment="1">
      <alignment horizontal="center"/>
    </xf>
    <xf numFmtId="0" fontId="24" fillId="0" borderId="0" xfId="0" applyFont="1"/>
    <xf numFmtId="0" fontId="18" fillId="0" borderId="1" xfId="0" applyFont="1" applyBorder="1" applyAlignment="1">
      <alignment horizontal="center"/>
    </xf>
    <xf numFmtId="0" fontId="18" fillId="0" borderId="0" xfId="0" applyFont="1"/>
    <xf numFmtId="168" fontId="18" fillId="0" borderId="1" xfId="0" applyNumberFormat="1" applyFont="1" applyBorder="1" applyAlignment="1">
      <alignment horizontal="center" vertical="center"/>
    </xf>
    <xf numFmtId="4" fontId="12" fillId="0" borderId="1" xfId="17" applyNumberFormat="1" applyFont="1" applyBorder="1" applyAlignment="1">
      <alignment horizontal="center" vertical="center" wrapText="1"/>
    </xf>
    <xf numFmtId="4" fontId="22" fillId="3" borderId="1" xfId="18" applyNumberFormat="1" applyFont="1" applyFill="1" applyBorder="1" applyAlignment="1">
      <alignment horizontal="center" vertical="center" shrinkToFit="1"/>
    </xf>
    <xf numFmtId="4" fontId="12" fillId="0" borderId="1" xfId="17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4" fontId="8" fillId="3" borderId="1" xfId="18" applyNumberFormat="1" applyFont="1" applyFill="1" applyBorder="1" applyAlignment="1">
      <alignment horizontal="center" vertical="center" shrinkToFit="1"/>
    </xf>
    <xf numFmtId="4" fontId="8" fillId="0" borderId="1" xfId="17" applyNumberFormat="1" applyFont="1" applyFill="1" applyBorder="1" applyAlignment="1">
      <alignment horizontal="center" vertical="center"/>
    </xf>
    <xf numFmtId="4" fontId="7" fillId="3" borderId="1" xfId="2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21" fillId="3" borderId="1" xfId="20" applyNumberFormat="1" applyFont="1" applyFill="1" applyBorder="1" applyAlignment="1">
      <alignment horizontal="center" vertical="center" wrapText="1"/>
    </xf>
    <xf numFmtId="4" fontId="21" fillId="0" borderId="1" xfId="2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3" borderId="1" xfId="17" applyNumberFormat="1" applyFont="1" applyFill="1" applyBorder="1" applyAlignment="1">
      <alignment horizontal="center" vertical="center" wrapText="1"/>
    </xf>
    <xf numFmtId="4" fontId="8" fillId="3" borderId="1" xfId="20" applyNumberFormat="1" applyFont="1" applyFill="1" applyBorder="1" applyAlignment="1">
      <alignment horizontal="center" vertical="center" wrapText="1"/>
    </xf>
    <xf numFmtId="4" fontId="20" fillId="3" borderId="1" xfId="20" applyNumberFormat="1" applyFont="1" applyFill="1" applyBorder="1" applyAlignment="1">
      <alignment horizontal="center" vertical="center" wrapText="1"/>
    </xf>
    <xf numFmtId="4" fontId="8" fillId="3" borderId="1" xfId="20" applyNumberFormat="1" applyFont="1" applyFill="1" applyBorder="1" applyAlignment="1">
      <alignment horizontal="center" vertical="center"/>
    </xf>
    <xf numFmtId="4" fontId="20" fillId="3" borderId="1" xfId="20" applyNumberFormat="1" applyFont="1" applyFill="1" applyBorder="1" applyAlignment="1">
      <alignment horizontal="center" vertical="center"/>
    </xf>
    <xf numFmtId="4" fontId="8" fillId="3" borderId="1" xfId="17" applyNumberFormat="1" applyFont="1" applyFill="1" applyBorder="1" applyAlignment="1">
      <alignment horizontal="center" vertical="center"/>
    </xf>
    <xf numFmtId="4" fontId="7" fillId="5" borderId="1" xfId="17" applyNumberFormat="1" applyFont="1" applyFill="1" applyBorder="1" applyAlignment="1">
      <alignment horizontal="center" vertical="center"/>
    </xf>
    <xf numFmtId="4" fontId="7" fillId="3" borderId="1" xfId="17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4" fontId="18" fillId="3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 vertical="center"/>
    </xf>
    <xf numFmtId="4" fontId="18" fillId="3" borderId="1" xfId="0" applyNumberFormat="1" applyFont="1" applyFill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right" vertical="center"/>
    </xf>
    <xf numFmtId="4" fontId="28" fillId="3" borderId="1" xfId="18" applyNumberFormat="1" applyFont="1" applyFill="1" applyBorder="1" applyAlignment="1">
      <alignment horizontal="right" vertical="center" shrinkToFit="1"/>
    </xf>
    <xf numFmtId="0" fontId="8" fillId="1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0" xfId="0" applyFont="1" applyAlignment="1"/>
    <xf numFmtId="166" fontId="8" fillId="3" borderId="1" xfId="9" applyNumberFormat="1" applyFont="1" applyFill="1" applyBorder="1" applyAlignment="1">
      <alignment horizontal="center" vertical="center" wrapText="1"/>
    </xf>
    <xf numFmtId="0" fontId="8" fillId="0" borderId="8" xfId="9" applyFont="1" applyBorder="1" applyAlignment="1">
      <alignment horizontal="left" wrapText="1"/>
    </xf>
    <xf numFmtId="49" fontId="8" fillId="0" borderId="1" xfId="9" applyNumberFormat="1" applyFont="1" applyBorder="1" applyAlignment="1">
      <alignment horizontal="center" vertical="center" wrapText="1"/>
    </xf>
    <xf numFmtId="164" fontId="12" fillId="0" borderId="1" xfId="9" applyNumberFormat="1" applyFont="1" applyBorder="1" applyAlignment="1">
      <alignment horizontal="center" vertical="center" wrapText="1"/>
    </xf>
    <xf numFmtId="164" fontId="20" fillId="0" borderId="1" xfId="9" applyNumberFormat="1" applyFont="1" applyBorder="1" applyAlignment="1">
      <alignment horizontal="center" vertical="center" wrapText="1"/>
    </xf>
    <xf numFmtId="0" fontId="8" fillId="0" borderId="8" xfId="9" applyFont="1" applyBorder="1" applyAlignment="1">
      <alignment horizontal="left" vertical="top" wrapText="1"/>
    </xf>
    <xf numFmtId="0" fontId="8" fillId="0" borderId="11" xfId="9" applyFont="1" applyBorder="1" applyAlignment="1">
      <alignment horizontal="center" vertical="center" wrapText="1" readingOrder="1"/>
    </xf>
    <xf numFmtId="0" fontId="8" fillId="0" borderId="8" xfId="9" applyFont="1" applyBorder="1" applyAlignment="1">
      <alignment wrapText="1"/>
    </xf>
    <xf numFmtId="1" fontId="8" fillId="3" borderId="1" xfId="9" applyNumberFormat="1" applyFont="1" applyFill="1" applyBorder="1" applyAlignment="1">
      <alignment horizontal="center" vertical="center" wrapText="1"/>
    </xf>
    <xf numFmtId="164" fontId="8" fillId="3" borderId="1" xfId="9" applyNumberFormat="1" applyFont="1" applyFill="1" applyBorder="1" applyAlignment="1">
      <alignment horizontal="center" vertical="center" wrapText="1"/>
    </xf>
    <xf numFmtId="0" fontId="8" fillId="11" borderId="0" xfId="8" applyFont="1" applyFill="1"/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/>
    <xf numFmtId="0" fontId="3" fillId="5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8" fillId="3" borderId="1" xfId="9" applyFont="1" applyFill="1" applyBorder="1" applyAlignment="1">
      <alignment horizontal="center" vertical="center" wrapText="1"/>
    </xf>
    <xf numFmtId="0" fontId="8" fillId="3" borderId="1" xfId="9" applyFont="1" applyFill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horizontal="justify" vertical="top" wrapText="1"/>
    </xf>
    <xf numFmtId="0" fontId="8" fillId="3" borderId="1" xfId="2" applyNumberFormat="1" applyFont="1" applyFill="1" applyBorder="1" applyAlignment="1">
      <alignment horizontal="center" vertical="center" wrapText="1"/>
    </xf>
    <xf numFmtId="1" fontId="20" fillId="3" borderId="1" xfId="2" applyNumberFormat="1" applyFont="1" applyFill="1" applyBorder="1" applyAlignment="1">
      <alignment horizontal="center" wrapText="1"/>
    </xf>
    <xf numFmtId="0" fontId="34" fillId="0" borderId="1" xfId="0" applyFont="1" applyBorder="1" applyAlignment="1" applyProtection="1">
      <alignment horizontal="center"/>
      <protection locked="0"/>
    </xf>
    <xf numFmtId="0" fontId="8" fillId="3" borderId="1" xfId="2" applyNumberFormat="1" applyFont="1" applyFill="1" applyBorder="1" applyAlignment="1">
      <alignment horizontal="center" wrapText="1"/>
    </xf>
    <xf numFmtId="1" fontId="20" fillId="3" borderId="5" xfId="2" applyNumberFormat="1" applyFont="1" applyFill="1" applyBorder="1" applyAlignment="1">
      <alignment horizontal="center" wrapText="1"/>
    </xf>
    <xf numFmtId="0" fontId="20" fillId="3" borderId="1" xfId="2" applyNumberFormat="1" applyFont="1" applyFill="1" applyBorder="1" applyAlignment="1">
      <alignment horizontal="center" vertical="top" wrapText="1"/>
    </xf>
    <xf numFmtId="0" fontId="20" fillId="3" borderId="1" xfId="2" applyNumberFormat="1" applyFont="1" applyFill="1" applyBorder="1" applyAlignment="1">
      <alignment horizontal="center" wrapText="1"/>
    </xf>
    <xf numFmtId="164" fontId="20" fillId="3" borderId="1" xfId="2" applyNumberFormat="1" applyFont="1" applyFill="1" applyBorder="1" applyAlignment="1">
      <alignment horizontal="center" wrapText="1"/>
    </xf>
    <xf numFmtId="2" fontId="20" fillId="3" borderId="1" xfId="2" applyNumberFormat="1" applyFont="1" applyFill="1" applyBorder="1" applyAlignment="1">
      <alignment horizontal="center" wrapText="1"/>
    </xf>
    <xf numFmtId="165" fontId="8" fillId="3" borderId="1" xfId="2" applyNumberFormat="1" applyFont="1" applyFill="1" applyBorder="1" applyAlignment="1">
      <alignment horizontal="center" wrapText="1"/>
    </xf>
    <xf numFmtId="2" fontId="20" fillId="3" borderId="1" xfId="2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0" fontId="8" fillId="0" borderId="1" xfId="8" applyFont="1" applyFill="1" applyBorder="1"/>
    <xf numFmtId="0" fontId="8" fillId="0" borderId="0" xfId="8" applyFont="1" applyFill="1"/>
    <xf numFmtId="0" fontId="24" fillId="0" borderId="1" xfId="8" applyFont="1" applyFill="1" applyBorder="1"/>
    <xf numFmtId="0" fontId="24" fillId="0" borderId="0" xfId="8" applyFont="1" applyFill="1"/>
    <xf numFmtId="0" fontId="8" fillId="0" borderId="8" xfId="11" applyFont="1" applyFill="1" applyBorder="1" applyAlignment="1">
      <alignment horizontal="justify" vertical="center" wrapText="1"/>
    </xf>
    <xf numFmtId="0" fontId="8" fillId="0" borderId="1" xfId="9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164" fontId="8" fillId="0" borderId="1" xfId="8" applyNumberFormat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/>
    </xf>
    <xf numFmtId="0" fontId="8" fillId="0" borderId="8" xfId="6" applyFont="1" applyFill="1" applyBorder="1" applyAlignment="1">
      <alignment horizontal="left" vertical="center" wrapText="1"/>
    </xf>
    <xf numFmtId="0" fontId="8" fillId="0" borderId="1" xfId="9" applyFont="1" applyFill="1" applyBorder="1" applyAlignment="1">
      <alignment horizontal="center" vertical="center"/>
    </xf>
    <xf numFmtId="0" fontId="22" fillId="0" borderId="10" xfId="9" applyFont="1" applyFill="1" applyBorder="1" applyAlignment="1">
      <alignment horizontal="center" vertical="center" wrapText="1"/>
    </xf>
    <xf numFmtId="0" fontId="8" fillId="0" borderId="8" xfId="6" applyFont="1" applyFill="1" applyBorder="1" applyAlignment="1">
      <alignment vertical="center" wrapText="1"/>
    </xf>
    <xf numFmtId="0" fontId="22" fillId="0" borderId="1" xfId="9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4" fontId="7" fillId="0" borderId="1" xfId="7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12" fillId="0" borderId="0" xfId="0" applyFont="1" applyFill="1"/>
    <xf numFmtId="0" fontId="22" fillId="0" borderId="1" xfId="0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24" fillId="0" borderId="1" xfId="7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8" fillId="0" borderId="1" xfId="7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wrapText="1"/>
    </xf>
    <xf numFmtId="49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/>
    <xf numFmtId="0" fontId="22" fillId="0" borderId="1" xfId="0" applyFont="1" applyFill="1" applyBorder="1" applyAlignment="1">
      <alignment vertical="center" wrapText="1"/>
    </xf>
    <xf numFmtId="0" fontId="8" fillId="0" borderId="1" xfId="9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top" wrapText="1"/>
    </xf>
    <xf numFmtId="0" fontId="8" fillId="3" borderId="1" xfId="2" applyFont="1" applyFill="1" applyBorder="1" applyAlignment="1">
      <alignment horizontal="justify" vertical="top" wrapText="1"/>
    </xf>
    <xf numFmtId="0" fontId="12" fillId="3" borderId="1" xfId="0" applyFont="1" applyFill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left" vertical="center" wrapText="1"/>
    </xf>
    <xf numFmtId="4" fontId="18" fillId="3" borderId="1" xfId="0" applyNumberFormat="1" applyFont="1" applyFill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3" borderId="1" xfId="0" quotePrefix="1" applyFont="1" applyFill="1" applyBorder="1" applyAlignment="1">
      <alignment vertical="center" wrapText="1"/>
    </xf>
    <xf numFmtId="1" fontId="13" fillId="3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8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8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8" fillId="0" borderId="1" xfId="0" applyNumberFormat="1" applyFont="1" applyBorder="1" applyAlignment="1">
      <alignment horizontal="right" vertical="center"/>
    </xf>
    <xf numFmtId="4" fontId="18" fillId="3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/>
    <xf numFmtId="0" fontId="12" fillId="0" borderId="1" xfId="0" applyFont="1" applyBorder="1"/>
    <xf numFmtId="4" fontId="12" fillId="0" borderId="1" xfId="0" applyNumberFormat="1" applyFont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 vertical="center"/>
    </xf>
    <xf numFmtId="0" fontId="7" fillId="0" borderId="1" xfId="7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4" fontId="18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4" fontId="8" fillId="0" borderId="1" xfId="17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8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vertical="center" wrapText="1"/>
    </xf>
    <xf numFmtId="0" fontId="12" fillId="3" borderId="1" xfId="0" quotePrefix="1" applyFont="1" applyFill="1" applyBorder="1" applyAlignment="1">
      <alignment vertical="center" wrapText="1"/>
    </xf>
    <xf numFmtId="0" fontId="12" fillId="3" borderId="8" xfId="0" applyFont="1" applyFill="1" applyBorder="1" applyAlignment="1">
      <alignment wrapText="1"/>
    </xf>
    <xf numFmtId="0" fontId="8" fillId="0" borderId="8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/>
    </xf>
    <xf numFmtId="164" fontId="8" fillId="3" borderId="1" xfId="13" applyFont="1" applyFill="1" applyBorder="1" applyAlignment="1">
      <alignment horizontal="center" vertical="center" wrapText="1"/>
    </xf>
    <xf numFmtId="164" fontId="8" fillId="3" borderId="1" xfId="12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wrapText="1"/>
    </xf>
    <xf numFmtId="2" fontId="8" fillId="0" borderId="1" xfId="17" applyNumberFormat="1" applyFont="1" applyFill="1" applyBorder="1" applyAlignment="1">
      <alignment horizontal="center" vertical="center"/>
    </xf>
    <xf numFmtId="4" fontId="8" fillId="0" borderId="1" xfId="26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8" fillId="5" borderId="1" xfId="7" applyNumberFormat="1" applyFont="1" applyFill="1" applyBorder="1" applyAlignment="1">
      <alignment horizontal="center" vertical="center"/>
    </xf>
    <xf numFmtId="1" fontId="8" fillId="0" borderId="1" xfId="8" applyNumberFormat="1" applyFont="1" applyFill="1" applyBorder="1" applyAlignment="1">
      <alignment horizontal="center" vertical="center"/>
    </xf>
    <xf numFmtId="0" fontId="1" fillId="0" borderId="0" xfId="0" applyFont="1"/>
    <xf numFmtId="2" fontId="3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3" borderId="1" xfId="8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" fontId="8" fillId="3" borderId="8" xfId="2" applyNumberFormat="1" applyFont="1" applyFill="1" applyBorder="1" applyAlignment="1">
      <alignment horizontal="center" vertical="center" wrapText="1"/>
    </xf>
    <xf numFmtId="164" fontId="8" fillId="12" borderId="1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164" fontId="8" fillId="12" borderId="2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10" borderId="1" xfId="0" applyFont="1" applyFill="1" applyBorder="1" applyAlignment="1">
      <alignment vertical="top" wrapText="1"/>
    </xf>
    <xf numFmtId="0" fontId="8" fillId="10" borderId="1" xfId="0" applyFont="1" applyFill="1" applyBorder="1" applyAlignment="1">
      <alignment vertical="center" wrapText="1"/>
    </xf>
    <xf numFmtId="0" fontId="8" fillId="0" borderId="1" xfId="8" applyFont="1" applyBorder="1" applyAlignment="1">
      <alignment vertical="top" wrapText="1"/>
    </xf>
    <xf numFmtId="0" fontId="8" fillId="0" borderId="1" xfId="0" applyFont="1" applyBorder="1" applyAlignment="1">
      <alignment horizontal="justify" vertical="top"/>
    </xf>
    <xf numFmtId="164" fontId="8" fillId="3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vertical="center" wrapText="1"/>
    </xf>
    <xf numFmtId="164" fontId="8" fillId="3" borderId="1" xfId="9" applyNumberFormat="1" applyFont="1" applyFill="1" applyBorder="1" applyAlignment="1">
      <alignment horizontal="center" vertical="center"/>
    </xf>
    <xf numFmtId="0" fontId="12" fillId="3" borderId="1" xfId="9" applyFont="1" applyFill="1" applyBorder="1" applyAlignment="1">
      <alignment horizontal="center" vertical="center"/>
    </xf>
    <xf numFmtId="164" fontId="12" fillId="3" borderId="1" xfId="9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1" fillId="0" borderId="1" xfId="20" applyFont="1" applyFill="1" applyBorder="1" applyAlignment="1">
      <alignment horizontal="left" vertical="center" wrapText="1"/>
    </xf>
    <xf numFmtId="0" fontId="12" fillId="0" borderId="1" xfId="0" applyFont="1" applyFill="1" applyBorder="1" applyAlignment="1"/>
    <xf numFmtId="0" fontId="12" fillId="0" borderId="8" xfId="0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4" fontId="21" fillId="0" borderId="1" xfId="20" applyNumberFormat="1" applyFont="1" applyFill="1" applyBorder="1" applyAlignment="1">
      <alignment horizontal="right" vertical="center" wrapText="1"/>
    </xf>
    <xf numFmtId="0" fontId="8" fillId="0" borderId="1" xfId="20" applyFont="1" applyFill="1" applyBorder="1" applyAlignment="1">
      <alignment horizontal="left" vertical="center" wrapText="1"/>
    </xf>
    <xf numFmtId="0" fontId="7" fillId="0" borderId="1" xfId="2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20" fillId="0" borderId="1" xfId="20" applyFont="1" applyFill="1" applyBorder="1" applyAlignment="1">
      <alignment horizontal="left" vertical="center" wrapText="1"/>
    </xf>
    <xf numFmtId="4" fontId="8" fillId="0" borderId="1" xfId="17" applyNumberFormat="1" applyFont="1" applyFill="1" applyBorder="1" applyAlignment="1">
      <alignment horizontal="right" vertical="center" wrapText="1"/>
    </xf>
    <xf numFmtId="0" fontId="20" fillId="0" borderId="1" xfId="20" applyFont="1" applyFill="1" applyBorder="1" applyAlignment="1">
      <alignment vertical="top" wrapText="1"/>
    </xf>
    <xf numFmtId="4" fontId="8" fillId="0" borderId="6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center" wrapText="1"/>
    </xf>
    <xf numFmtId="0" fontId="20" fillId="0" borderId="1" xfId="20" applyFont="1" applyFill="1" applyBorder="1" applyAlignment="1">
      <alignment horizontal="justify" vertical="center" wrapText="1"/>
    </xf>
    <xf numFmtId="4" fontId="12" fillId="0" borderId="6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20" fillId="0" borderId="1" xfId="20" applyFont="1" applyFill="1" applyBorder="1" applyAlignment="1">
      <alignment horizontal="left" vertical="top" wrapText="1"/>
    </xf>
    <xf numFmtId="4" fontId="20" fillId="0" borderId="1" xfId="2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7" fillId="0" borderId="1" xfId="7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 vertical="top" wrapText="1"/>
    </xf>
    <xf numFmtId="4" fontId="18" fillId="0" borderId="5" xfId="0" applyNumberFormat="1" applyFont="1" applyFill="1" applyBorder="1" applyAlignment="1">
      <alignment horizontal="right" vertical="center" wrapText="1"/>
    </xf>
    <xf numFmtId="4" fontId="18" fillId="0" borderId="5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/>
    </xf>
    <xf numFmtId="0" fontId="18" fillId="0" borderId="1" xfId="0" applyFont="1" applyFill="1" applyBorder="1"/>
    <xf numFmtId="0" fontId="18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4" fontId="8" fillId="0" borderId="1" xfId="7" applyNumberFormat="1" applyFont="1" applyFill="1" applyBorder="1" applyAlignment="1">
      <alignment vertical="center"/>
    </xf>
    <xf numFmtId="4" fontId="7" fillId="0" borderId="1" xfId="7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vertical="top" wrapText="1"/>
    </xf>
    <xf numFmtId="4" fontId="7" fillId="0" borderId="1" xfId="7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top" wrapText="1"/>
    </xf>
    <xf numFmtId="4" fontId="24" fillId="0" borderId="1" xfId="7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2" fontId="14" fillId="0" borderId="2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wrapText="1"/>
    </xf>
    <xf numFmtId="2" fontId="24" fillId="0" borderId="1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vertical="top" wrapText="1"/>
    </xf>
    <xf numFmtId="4" fontId="18" fillId="0" borderId="1" xfId="0" applyNumberFormat="1" applyFont="1" applyFill="1" applyBorder="1" applyAlignment="1">
      <alignment vertical="center"/>
    </xf>
    <xf numFmtId="0" fontId="18" fillId="0" borderId="0" xfId="0" applyFont="1" applyFill="1"/>
    <xf numFmtId="49" fontId="1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/>
    <xf numFmtId="0" fontId="7" fillId="0" borderId="1" xfId="7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4" fontId="8" fillId="0" borderId="1" xfId="18" applyNumberFormat="1" applyFont="1" applyFill="1" applyBorder="1" applyAlignment="1">
      <alignment horizontal="right" vertical="center" shrinkToFit="1"/>
    </xf>
    <xf numFmtId="0" fontId="8" fillId="0" borderId="1" xfId="7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12" fillId="0" borderId="1" xfId="7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4" fontId="18" fillId="0" borderId="1" xfId="7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wrapText="1"/>
    </xf>
    <xf numFmtId="0" fontId="22" fillId="0" borderId="1" xfId="0" applyFont="1" applyFill="1" applyBorder="1"/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0" xfId="0" applyFont="1" applyFill="1"/>
    <xf numFmtId="0" fontId="8" fillId="0" borderId="1" xfId="0" applyFont="1" applyFill="1" applyBorder="1" applyAlignment="1"/>
    <xf numFmtId="0" fontId="18" fillId="0" borderId="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wrapText="1"/>
    </xf>
    <xf numFmtId="4" fontId="24" fillId="0" borderId="1" xfId="0" applyNumberFormat="1" applyFont="1" applyFill="1" applyBorder="1" applyAlignment="1">
      <alignment horizontal="right" vertical="center" wrapText="1"/>
    </xf>
    <xf numFmtId="4" fontId="7" fillId="0" borderId="1" xfId="17" applyNumberFormat="1" applyFont="1" applyFill="1" applyBorder="1" applyAlignment="1">
      <alignment horizontal="right" vertical="center"/>
    </xf>
    <xf numFmtId="0" fontId="24" fillId="0" borderId="1" xfId="7" applyFont="1" applyFill="1" applyBorder="1" applyAlignment="1">
      <alignment horizontal="left" vertical="center" wrapText="1"/>
    </xf>
    <xf numFmtId="4" fontId="31" fillId="0" borderId="1" xfId="18" applyNumberFormat="1" applyFont="1" applyFill="1" applyBorder="1" applyAlignment="1">
      <alignment horizontal="right" vertical="center" shrinkToFit="1"/>
    </xf>
    <xf numFmtId="4" fontId="22" fillId="0" borderId="1" xfId="18" applyNumberFormat="1" applyFont="1" applyFill="1" applyBorder="1" applyAlignment="1">
      <alignment horizontal="right" vertical="center" shrinkToFit="1"/>
    </xf>
    <xf numFmtId="4" fontId="18" fillId="0" borderId="1" xfId="0" applyNumberFormat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vertical="center" wrapText="1"/>
    </xf>
    <xf numFmtId="4" fontId="22" fillId="0" borderId="1" xfId="19" applyNumberFormat="1" applyFont="1" applyFill="1" applyBorder="1" applyAlignment="1" applyProtection="1">
      <alignment vertical="center" shrinkToFit="1"/>
    </xf>
    <xf numFmtId="4" fontId="8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justify" wrapText="1"/>
    </xf>
    <xf numFmtId="0" fontId="18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7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  <xf numFmtId="0" fontId="0" fillId="3" borderId="1" xfId="0" applyFill="1" applyBorder="1" applyAlignment="1"/>
    <xf numFmtId="0" fontId="8" fillId="3" borderId="1" xfId="9" applyFont="1" applyFill="1" applyBorder="1" applyAlignment="1">
      <alignment horizontal="center" vertical="center"/>
    </xf>
    <xf numFmtId="4" fontId="12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164" fontId="8" fillId="3" borderId="8" xfId="8" applyNumberFormat="1" applyFont="1" applyFill="1" applyBorder="1" applyAlignment="1">
      <alignment horizontal="center" vertical="center"/>
    </xf>
    <xf numFmtId="165" fontId="22" fillId="0" borderId="1" xfId="9" applyNumberFormat="1" applyFont="1" applyBorder="1" applyAlignment="1">
      <alignment horizontal="center" vertical="center" wrapText="1"/>
    </xf>
    <xf numFmtId="2" fontId="22" fillId="0" borderId="1" xfId="9" applyNumberFormat="1" applyFont="1" applyBorder="1" applyAlignment="1">
      <alignment horizontal="center" vertical="center" wrapText="1"/>
    </xf>
    <xf numFmtId="165" fontId="20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/>
    </xf>
    <xf numFmtId="0" fontId="8" fillId="0" borderId="1" xfId="0" applyFont="1" applyBorder="1"/>
    <xf numFmtId="0" fontId="12" fillId="13" borderId="1" xfId="0" applyFont="1" applyFill="1" applyBorder="1" applyAlignment="1">
      <alignment horizontal="center"/>
    </xf>
    <xf numFmtId="0" fontId="7" fillId="13" borderId="1" xfId="7" applyFont="1" applyFill="1" applyBorder="1" applyAlignment="1">
      <alignment horizontal="left" vertical="center" wrapText="1"/>
    </xf>
    <xf numFmtId="4" fontId="7" fillId="13" borderId="1" xfId="7" applyNumberFormat="1" applyFont="1" applyFill="1" applyBorder="1" applyAlignment="1">
      <alignment horizontal="center" vertical="center" wrapText="1"/>
    </xf>
    <xf numFmtId="0" fontId="32" fillId="13" borderId="0" xfId="0" applyFont="1" applyFill="1"/>
    <xf numFmtId="2" fontId="32" fillId="13" borderId="0" xfId="0" applyNumberFormat="1" applyFont="1" applyFill="1"/>
    <xf numFmtId="0" fontId="12" fillId="13" borderId="0" xfId="0" applyFont="1" applyFill="1"/>
    <xf numFmtId="4" fontId="32" fillId="13" borderId="0" xfId="0" applyNumberFormat="1" applyFont="1" applyFill="1"/>
    <xf numFmtId="0" fontId="8" fillId="0" borderId="1" xfId="16" applyFont="1" applyFill="1" applyBorder="1" applyAlignment="1">
      <alignment horizontal="left" vertical="center" wrapText="1"/>
    </xf>
    <xf numFmtId="0" fontId="8" fillId="0" borderId="1" xfId="16" applyFont="1" applyFill="1" applyBorder="1" applyAlignment="1">
      <alignment horizontal="center" vertical="center" wrapText="1"/>
    </xf>
    <xf numFmtId="2" fontId="8" fillId="0" borderId="1" xfId="8" applyNumberFormat="1" applyFont="1" applyFill="1" applyBorder="1" applyAlignment="1">
      <alignment horizontal="center" vertical="center"/>
    </xf>
    <xf numFmtId="14" fontId="8" fillId="2" borderId="1" xfId="8" applyNumberFormat="1" applyFont="1" applyFill="1" applyBorder="1"/>
    <xf numFmtId="0" fontId="8" fillId="3" borderId="8" xfId="9" applyFont="1" applyFill="1" applyBorder="1" applyAlignment="1">
      <alignment horizontal="justify" vertical="center" wrapText="1"/>
    </xf>
    <xf numFmtId="0" fontId="8" fillId="0" borderId="1" xfId="2" applyFont="1" applyBorder="1" applyAlignment="1">
      <alignment horizontal="justify" vertical="center" wrapText="1"/>
    </xf>
    <xf numFmtId="0" fontId="7" fillId="0" borderId="1" xfId="7" applyFont="1" applyBorder="1" applyAlignment="1">
      <alignment horizontal="center"/>
    </xf>
    <xf numFmtId="0" fontId="7" fillId="2" borderId="1" xfId="8" applyFont="1" applyFill="1" applyBorder="1" applyAlignment="1">
      <alignment vertical="center"/>
    </xf>
    <xf numFmtId="0" fontId="8" fillId="11" borderId="1" xfId="8" applyFont="1" applyFill="1" applyBorder="1" applyAlignment="1">
      <alignment vertical="center"/>
    </xf>
    <xf numFmtId="0" fontId="7" fillId="2" borderId="1" xfId="8" applyFont="1" applyFill="1" applyBorder="1" applyAlignment="1">
      <alignment vertical="center" wrapText="1"/>
    </xf>
    <xf numFmtId="0" fontId="8" fillId="11" borderId="1" xfId="8" applyFont="1" applyFill="1" applyBorder="1" applyAlignment="1">
      <alignment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7" applyFont="1" applyBorder="1" applyAlignment="1">
      <alignment wrapText="1"/>
    </xf>
    <xf numFmtId="0" fontId="7" fillId="13" borderId="1" xfId="7" applyFont="1" applyFill="1" applyBorder="1" applyAlignment="1">
      <alignment horizontal="left" wrapText="1"/>
    </xf>
    <xf numFmtId="4" fontId="7" fillId="5" borderId="1" xfId="17" applyNumberFormat="1" applyFont="1" applyFill="1" applyBorder="1" applyAlignment="1">
      <alignment horizontal="center" vertical="center" wrapText="1"/>
    </xf>
    <xf numFmtId="4" fontId="15" fillId="5" borderId="1" xfId="17" applyNumberFormat="1" applyFont="1" applyFill="1" applyBorder="1" applyAlignment="1">
      <alignment horizontal="center" vertical="center" wrapText="1"/>
    </xf>
    <xf numFmtId="0" fontId="12" fillId="0" borderId="1" xfId="21" applyFont="1" applyBorder="1" applyAlignment="1">
      <alignment vertical="center" wrapText="1"/>
    </xf>
    <xf numFmtId="0" fontId="8" fillId="13" borderId="1" xfId="0" applyFont="1" applyFill="1" applyBorder="1" applyAlignment="1">
      <alignment horizontal="center"/>
    </xf>
    <xf numFmtId="0" fontId="7" fillId="13" borderId="1" xfId="8" applyFont="1" applyFill="1" applyBorder="1" applyAlignment="1">
      <alignment horizontal="left" vertical="center" wrapText="1"/>
    </xf>
    <xf numFmtId="168" fontId="7" fillId="13" borderId="1" xfId="7" applyNumberFormat="1" applyFont="1" applyFill="1" applyBorder="1" applyAlignment="1">
      <alignment horizontal="center" vertical="center" wrapText="1"/>
    </xf>
    <xf numFmtId="0" fontId="33" fillId="13" borderId="0" xfId="0" applyFont="1" applyFill="1"/>
    <xf numFmtId="2" fontId="33" fillId="13" borderId="0" xfId="0" applyNumberFormat="1" applyFont="1" applyFill="1"/>
    <xf numFmtId="0" fontId="8" fillId="13" borderId="0" xfId="0" applyFont="1" applyFill="1"/>
    <xf numFmtId="4" fontId="33" fillId="13" borderId="0" xfId="0" applyNumberFormat="1" applyFont="1" applyFill="1"/>
    <xf numFmtId="0" fontId="7" fillId="14" borderId="1" xfId="7" applyFont="1" applyFill="1" applyBorder="1" applyAlignment="1">
      <alignment vertical="center" wrapText="1"/>
    </xf>
    <xf numFmtId="0" fontId="12" fillId="14" borderId="0" xfId="0" applyFont="1" applyFill="1"/>
    <xf numFmtId="0" fontId="21" fillId="14" borderId="1" xfId="7" applyFont="1" applyFill="1" applyBorder="1" applyAlignment="1">
      <alignment horizontal="left" vertical="center" wrapText="1"/>
    </xf>
    <xf numFmtId="0" fontId="7" fillId="14" borderId="1" xfId="7" applyFont="1" applyFill="1" applyBorder="1" applyAlignment="1">
      <alignment horizontal="left" vertical="center" wrapText="1"/>
    </xf>
    <xf numFmtId="0" fontId="28" fillId="14" borderId="1" xfId="0" applyFont="1" applyFill="1" applyBorder="1" applyAlignment="1">
      <alignment vertical="top" wrapText="1"/>
    </xf>
    <xf numFmtId="0" fontId="28" fillId="14" borderId="1" xfId="0" applyFont="1" applyFill="1" applyBorder="1" applyAlignment="1">
      <alignment vertical="center" wrapText="1"/>
    </xf>
    <xf numFmtId="0" fontId="18" fillId="14" borderId="1" xfId="0" applyFont="1" applyFill="1" applyBorder="1" applyAlignment="1">
      <alignment horizontal="left" vertical="center" wrapText="1"/>
    </xf>
    <xf numFmtId="0" fontId="7" fillId="14" borderId="1" xfId="0" applyFont="1" applyFill="1" applyBorder="1" applyAlignment="1">
      <alignment horizontal="left" vertical="center" wrapText="1"/>
    </xf>
    <xf numFmtId="0" fontId="12" fillId="14" borderId="1" xfId="0" applyFont="1" applyFill="1" applyBorder="1"/>
    <xf numFmtId="0" fontId="18" fillId="14" borderId="1" xfId="0" applyFont="1" applyFill="1" applyBorder="1" applyAlignment="1">
      <alignment vertical="center" wrapText="1"/>
    </xf>
    <xf numFmtId="0" fontId="7" fillId="13" borderId="1" xfId="7" applyFont="1" applyFill="1" applyBorder="1" applyAlignment="1">
      <alignment vertical="center" wrapText="1"/>
    </xf>
    <xf numFmtId="4" fontId="7" fillId="13" borderId="1" xfId="7" applyNumberFormat="1" applyFont="1" applyFill="1" applyBorder="1" applyAlignment="1">
      <alignment horizontal="center" vertical="center"/>
    </xf>
    <xf numFmtId="0" fontId="21" fillId="13" borderId="1" xfId="7" applyFont="1" applyFill="1" applyBorder="1" applyAlignment="1">
      <alignment horizontal="left" vertical="center" wrapText="1"/>
    </xf>
    <xf numFmtId="4" fontId="18" fillId="13" borderId="1" xfId="0" applyNumberFormat="1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vertical="top" wrapText="1"/>
    </xf>
    <xf numFmtId="4" fontId="8" fillId="13" borderId="1" xfId="7" applyNumberFormat="1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vertical="top" wrapText="1"/>
    </xf>
    <xf numFmtId="4" fontId="7" fillId="13" borderId="1" xfId="0" applyNumberFormat="1" applyFont="1" applyFill="1" applyBorder="1" applyAlignment="1">
      <alignment horizontal="center" vertical="center"/>
    </xf>
    <xf numFmtId="168" fontId="7" fillId="13" borderId="1" xfId="0" applyNumberFormat="1" applyFont="1" applyFill="1" applyBorder="1" applyAlignment="1">
      <alignment horizontal="center" vertical="center"/>
    </xf>
    <xf numFmtId="4" fontId="7" fillId="13" borderId="1" xfId="0" applyNumberFormat="1" applyFont="1" applyFill="1" applyBorder="1" applyAlignment="1">
      <alignment horizontal="center" vertical="center" wrapText="1"/>
    </xf>
    <xf numFmtId="0" fontId="28" fillId="13" borderId="1" xfId="0" applyFont="1" applyFill="1" applyBorder="1" applyAlignment="1">
      <alignment vertical="center" wrapText="1"/>
    </xf>
    <xf numFmtId="0" fontId="18" fillId="13" borderId="1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horizontal="left" vertical="center" wrapText="1"/>
    </xf>
    <xf numFmtId="4" fontId="7" fillId="13" borderId="1" xfId="17" applyNumberFormat="1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justify"/>
    </xf>
    <xf numFmtId="4" fontId="18" fillId="13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/>
    <xf numFmtId="0" fontId="18" fillId="13" borderId="1" xfId="0" applyFont="1" applyFill="1" applyBorder="1" applyAlignment="1">
      <alignment vertical="center" wrapText="1"/>
    </xf>
    <xf numFmtId="4" fontId="12" fillId="13" borderId="1" xfId="0" applyNumberFormat="1" applyFont="1" applyFill="1" applyBorder="1" applyAlignment="1">
      <alignment horizontal="center" vertical="center"/>
    </xf>
    <xf numFmtId="49" fontId="12" fillId="14" borderId="1" xfId="0" applyNumberFormat="1" applyFont="1" applyFill="1" applyBorder="1" applyAlignment="1">
      <alignment horizontal="center"/>
    </xf>
    <xf numFmtId="4" fontId="18" fillId="14" borderId="1" xfId="0" applyNumberFormat="1" applyFont="1" applyFill="1" applyBorder="1" applyAlignment="1">
      <alignment horizontal="right" vertical="center" wrapText="1"/>
    </xf>
    <xf numFmtId="4" fontId="18" fillId="14" borderId="1" xfId="0" applyNumberFormat="1" applyFont="1" applyFill="1" applyBorder="1" applyAlignment="1">
      <alignment horizontal="right" vertical="center"/>
    </xf>
    <xf numFmtId="4" fontId="13" fillId="14" borderId="1" xfId="0" applyNumberFormat="1" applyFont="1" applyFill="1" applyBorder="1" applyAlignment="1">
      <alignment horizontal="right" vertical="center"/>
    </xf>
    <xf numFmtId="4" fontId="12" fillId="14" borderId="1" xfId="0" applyNumberFormat="1" applyFont="1" applyFill="1" applyBorder="1" applyAlignment="1"/>
    <xf numFmtId="4" fontId="12" fillId="14" borderId="1" xfId="0" applyNumberFormat="1" applyFont="1" applyFill="1" applyBorder="1" applyAlignment="1">
      <alignment horizontal="right" vertical="center" wrapText="1"/>
    </xf>
    <xf numFmtId="4" fontId="12" fillId="14" borderId="1" xfId="0" applyNumberFormat="1" applyFont="1" applyFill="1" applyBorder="1" applyAlignment="1">
      <alignment horizontal="right" vertical="center"/>
    </xf>
    <xf numFmtId="0" fontId="12" fillId="14" borderId="0" xfId="0" applyFont="1" applyFill="1" applyAlignment="1">
      <alignment vertical="center" wrapText="1"/>
    </xf>
    <xf numFmtId="0" fontId="12" fillId="14" borderId="1" xfId="0" applyFont="1" applyFill="1" applyBorder="1" applyAlignment="1"/>
    <xf numFmtId="0" fontId="18" fillId="14" borderId="1" xfId="0" applyFont="1" applyFill="1" applyBorder="1" applyAlignment="1">
      <alignment vertical="top" wrapText="1"/>
    </xf>
    <xf numFmtId="4" fontId="28" fillId="14" borderId="1" xfId="18" applyNumberFormat="1" applyFont="1" applyFill="1" applyBorder="1" applyAlignment="1">
      <alignment horizontal="right" vertical="center" shrinkToFit="1"/>
    </xf>
    <xf numFmtId="4" fontId="7" fillId="14" borderId="1" xfId="7" applyNumberFormat="1" applyFont="1" applyFill="1" applyBorder="1" applyAlignment="1">
      <alignment horizontal="right" vertical="center" wrapText="1"/>
    </xf>
    <xf numFmtId="0" fontId="12" fillId="14" borderId="1" xfId="0" applyFont="1" applyFill="1" applyBorder="1" applyAlignment="1">
      <alignment horizontal="left"/>
    </xf>
    <xf numFmtId="0" fontId="12" fillId="14" borderId="1" xfId="0" applyFont="1" applyFill="1" applyBorder="1" applyAlignment="1">
      <alignment wrapText="1"/>
    </xf>
    <xf numFmtId="0" fontId="22" fillId="14" borderId="8" xfId="0" applyFont="1" applyFill="1" applyBorder="1" applyAlignment="1">
      <alignment horizontal="center" vertical="center" wrapText="1"/>
    </xf>
    <xf numFmtId="0" fontId="21" fillId="14" borderId="1" xfId="8" applyFont="1" applyFill="1" applyBorder="1" applyAlignment="1">
      <alignment horizontal="left" vertical="center" wrapText="1"/>
    </xf>
    <xf numFmtId="0" fontId="18" fillId="14" borderId="0" xfId="0" applyFont="1" applyFill="1"/>
    <xf numFmtId="4" fontId="7" fillId="14" borderId="5" xfId="17" applyNumberFormat="1" applyFont="1" applyFill="1" applyBorder="1" applyAlignment="1">
      <alignment horizontal="right" vertical="center" wrapText="1"/>
    </xf>
    <xf numFmtId="4" fontId="8" fillId="14" borderId="1" xfId="7" applyNumberFormat="1" applyFont="1" applyFill="1" applyBorder="1" applyAlignment="1">
      <alignment horizontal="right" vertical="center"/>
    </xf>
    <xf numFmtId="0" fontId="12" fillId="14" borderId="1" xfId="0" applyFont="1" applyFill="1" applyBorder="1" applyAlignment="1">
      <alignment vertical="center"/>
    </xf>
    <xf numFmtId="4" fontId="7" fillId="14" borderId="1" xfId="7" applyNumberFormat="1" applyFont="1" applyFill="1" applyBorder="1" applyAlignment="1">
      <alignment horizontal="right" vertical="center"/>
    </xf>
    <xf numFmtId="4" fontId="7" fillId="14" borderId="1" xfId="0" applyNumberFormat="1" applyFont="1" applyFill="1" applyBorder="1" applyAlignment="1">
      <alignment horizontal="right" vertical="center" wrapText="1"/>
    </xf>
    <xf numFmtId="0" fontId="12" fillId="14" borderId="8" xfId="0" applyFont="1" applyFill="1" applyBorder="1" applyAlignment="1">
      <alignment horizontal="left" vertical="center" wrapText="1"/>
    </xf>
    <xf numFmtId="0" fontId="12" fillId="14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7" fillId="0" borderId="1" xfId="20" applyFont="1" applyFill="1" applyBorder="1" applyAlignment="1">
      <alignment horizontal="left" vertical="center" wrapText="1"/>
    </xf>
    <xf numFmtId="0" fontId="8" fillId="11" borderId="1" xfId="8" applyFont="1" applyFill="1" applyBorder="1"/>
    <xf numFmtId="0" fontId="8" fillId="11" borderId="0" xfId="8" applyFont="1" applyFill="1" applyAlignment="1">
      <alignment vertical="center"/>
    </xf>
    <xf numFmtId="0" fontId="8" fillId="2" borderId="6" xfId="8" applyFont="1" applyFill="1" applyBorder="1" applyAlignment="1">
      <alignment horizontal="center" vertical="center"/>
    </xf>
    <xf numFmtId="164" fontId="7" fillId="11" borderId="6" xfId="8" applyNumberFormat="1" applyFont="1" applyFill="1" applyBorder="1" applyAlignment="1">
      <alignment horizontal="center" vertical="center"/>
    </xf>
    <xf numFmtId="0" fontId="8" fillId="2" borderId="6" xfId="8" applyFont="1" applyFill="1" applyBorder="1" applyAlignment="1">
      <alignment vertical="center"/>
    </xf>
    <xf numFmtId="2" fontId="7" fillId="2" borderId="6" xfId="8" applyNumberFormat="1" applyFont="1" applyFill="1" applyBorder="1" applyAlignment="1">
      <alignment vertical="center"/>
    </xf>
    <xf numFmtId="0" fontId="8" fillId="2" borderId="6" xfId="8" applyFont="1" applyFill="1" applyBorder="1"/>
    <xf numFmtId="2" fontId="7" fillId="11" borderId="6" xfId="8" applyNumberFormat="1" applyFont="1" applyFill="1" applyBorder="1" applyAlignment="1">
      <alignment horizontal="center"/>
    </xf>
    <xf numFmtId="165" fontId="8" fillId="2" borderId="6" xfId="8" applyNumberFormat="1" applyFont="1" applyFill="1" applyBorder="1" applyAlignment="1">
      <alignment vertical="center"/>
    </xf>
    <xf numFmtId="164" fontId="7" fillId="7" borderId="6" xfId="8" applyNumberFormat="1" applyFont="1" applyFill="1" applyBorder="1" applyAlignment="1">
      <alignment horizontal="center" vertical="center"/>
    </xf>
    <xf numFmtId="0" fontId="8" fillId="3" borderId="6" xfId="8" applyFont="1" applyFill="1" applyBorder="1" applyAlignment="1">
      <alignment vertical="center"/>
    </xf>
    <xf numFmtId="0" fontId="36" fillId="3" borderId="6" xfId="8" applyFont="1" applyFill="1" applyBorder="1" applyAlignment="1">
      <alignment vertical="center"/>
    </xf>
    <xf numFmtId="0" fontId="8" fillId="3" borderId="6" xfId="8" applyFont="1" applyFill="1" applyBorder="1"/>
    <xf numFmtId="2" fontId="7" fillId="11" borderId="6" xfId="8" applyNumberFormat="1" applyFont="1" applyFill="1" applyBorder="1" applyAlignment="1">
      <alignment horizontal="center" vertical="center"/>
    </xf>
    <xf numFmtId="0" fontId="7" fillId="3" borderId="6" xfId="8" applyFont="1" applyFill="1" applyBorder="1" applyAlignment="1">
      <alignment horizontal="center" vertical="center"/>
    </xf>
    <xf numFmtId="0" fontId="8" fillId="3" borderId="6" xfId="8" applyFont="1" applyFill="1" applyBorder="1" applyAlignment="1">
      <alignment vertical="center" wrapText="1"/>
    </xf>
    <xf numFmtId="0" fontId="7" fillId="3" borderId="6" xfId="9" applyFont="1" applyFill="1" applyBorder="1" applyAlignment="1">
      <alignment horizontal="center" vertical="center"/>
    </xf>
    <xf numFmtId="2" fontId="7" fillId="11" borderId="13" xfId="8" applyNumberFormat="1" applyFont="1" applyFill="1" applyBorder="1" applyAlignment="1">
      <alignment horizontal="center" vertical="center"/>
    </xf>
    <xf numFmtId="2" fontId="8" fillId="2" borderId="6" xfId="8" applyNumberFormat="1" applyFont="1" applyFill="1" applyBorder="1" applyAlignment="1">
      <alignment horizontal="center" vertical="center"/>
    </xf>
    <xf numFmtId="164" fontId="8" fillId="0" borderId="6" xfId="8" applyNumberFormat="1" applyFont="1" applyFill="1" applyBorder="1" applyAlignment="1">
      <alignment vertical="center"/>
    </xf>
    <xf numFmtId="164" fontId="8" fillId="3" borderId="6" xfId="8" applyNumberFormat="1" applyFont="1" applyFill="1" applyBorder="1" applyAlignment="1">
      <alignment horizontal="center" vertical="center"/>
    </xf>
    <xf numFmtId="0" fontId="8" fillId="2" borderId="14" xfId="8" applyFont="1" applyFill="1" applyBorder="1" applyAlignment="1">
      <alignment vertical="center"/>
    </xf>
    <xf numFmtId="0" fontId="8" fillId="3" borderId="13" xfId="8" applyFont="1" applyFill="1" applyBorder="1" applyAlignment="1">
      <alignment vertical="center"/>
    </xf>
    <xf numFmtId="0" fontId="8" fillId="0" borderId="6" xfId="8" applyFont="1" applyFill="1" applyBorder="1" applyAlignment="1">
      <alignment vertical="center"/>
    </xf>
    <xf numFmtId="0" fontId="8" fillId="0" borderId="6" xfId="8" applyFont="1" applyBorder="1" applyAlignment="1">
      <alignment vertical="center"/>
    </xf>
    <xf numFmtId="0" fontId="8" fillId="3" borderId="6" xfId="8" applyFont="1" applyFill="1" applyBorder="1" applyAlignment="1">
      <alignment horizontal="center" vertical="center"/>
    </xf>
    <xf numFmtId="2" fontId="7" fillId="3" borderId="6" xfId="8" applyNumberFormat="1" applyFont="1" applyFill="1" applyBorder="1" applyAlignment="1">
      <alignment horizontal="center" vertical="center"/>
    </xf>
    <xf numFmtId="0" fontId="8" fillId="3" borderId="8" xfId="8" applyFont="1" applyFill="1" applyBorder="1"/>
    <xf numFmtId="0" fontId="8" fillId="2" borderId="8" xfId="8" applyFont="1" applyFill="1" applyBorder="1"/>
    <xf numFmtId="0" fontId="8" fillId="2" borderId="1" xfId="8" applyFont="1" applyFill="1" applyBorder="1" applyAlignment="1">
      <alignment vertical="center" wrapText="1"/>
    </xf>
    <xf numFmtId="0" fontId="8" fillId="11" borderId="1" xfId="8" applyFont="1" applyFill="1" applyBorder="1" applyAlignment="1">
      <alignment wrapText="1"/>
    </xf>
    <xf numFmtId="0" fontId="8" fillId="7" borderId="1" xfId="8" applyFont="1" applyFill="1" applyBorder="1" applyAlignment="1">
      <alignment wrapText="1"/>
    </xf>
    <xf numFmtId="0" fontId="12" fillId="0" borderId="1" xfId="0" applyFont="1" applyBorder="1" applyAlignment="1">
      <alignment horizontal="justify" vertical="center"/>
    </xf>
    <xf numFmtId="0" fontId="8" fillId="2" borderId="1" xfId="8" applyFont="1" applyFill="1" applyBorder="1" applyAlignment="1">
      <alignment vertical="top" wrapText="1"/>
    </xf>
    <xf numFmtId="0" fontId="24" fillId="2" borderId="1" xfId="8" applyFont="1" applyFill="1" applyBorder="1" applyAlignment="1">
      <alignment horizontal="left" wrapText="1"/>
    </xf>
    <xf numFmtId="0" fontId="24" fillId="2" borderId="1" xfId="8" applyFont="1" applyFill="1" applyBorder="1" applyAlignment="1">
      <alignment horizontal="center" wrapText="1"/>
    </xf>
    <xf numFmtId="0" fontId="24" fillId="2" borderId="1" xfId="8" applyFont="1" applyFill="1" applyBorder="1" applyAlignment="1">
      <alignment wrapText="1"/>
    </xf>
    <xf numFmtId="0" fontId="8" fillId="0" borderId="1" xfId="8" applyFont="1" applyFill="1" applyBorder="1" applyAlignment="1">
      <alignment wrapText="1"/>
    </xf>
    <xf numFmtId="0" fontId="24" fillId="0" borderId="1" xfId="8" applyFont="1" applyFill="1" applyBorder="1" applyAlignment="1">
      <alignment wrapText="1"/>
    </xf>
    <xf numFmtId="0" fontId="8" fillId="0" borderId="1" xfId="8" applyFont="1" applyBorder="1" applyAlignment="1">
      <alignment wrapText="1"/>
    </xf>
    <xf numFmtId="0" fontId="8" fillId="0" borderId="1" xfId="8" applyFont="1" applyBorder="1"/>
    <xf numFmtId="0" fontId="8" fillId="3" borderId="1" xfId="8" applyFont="1" applyFill="1" applyBorder="1" applyAlignment="1">
      <alignment horizontal="center" wrapText="1"/>
    </xf>
    <xf numFmtId="0" fontId="8" fillId="0" borderId="1" xfId="8" applyFont="1" applyBorder="1" applyAlignment="1">
      <alignment horizontal="center"/>
    </xf>
    <xf numFmtId="0" fontId="12" fillId="0" borderId="1" xfId="9" applyFont="1" applyBorder="1" applyAlignment="1">
      <alignment wrapText="1"/>
    </xf>
    <xf numFmtId="0" fontId="12" fillId="0" borderId="1" xfId="9" applyFont="1" applyBorder="1"/>
    <xf numFmtId="0" fontId="8" fillId="0" borderId="1" xfId="8" applyFont="1" applyBorder="1" applyAlignment="1">
      <alignment horizontal="center" wrapText="1"/>
    </xf>
    <xf numFmtId="0" fontId="8" fillId="10" borderId="1" xfId="0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left" vertical="center" wrapText="1"/>
    </xf>
    <xf numFmtId="0" fontId="8" fillId="2" borderId="1" xfId="8" applyFont="1" applyFill="1" applyBorder="1" applyAlignment="1">
      <alignment horizontal="left" vertical="top" wrapText="1"/>
    </xf>
    <xf numFmtId="0" fontId="8" fillId="2" borderId="1" xfId="8" applyFont="1" applyFill="1" applyBorder="1" applyAlignment="1"/>
    <xf numFmtId="0" fontId="12" fillId="0" borderId="0" xfId="0" applyFont="1" applyBorder="1"/>
    <xf numFmtId="43" fontId="12" fillId="0" borderId="0" xfId="0" applyNumberFormat="1" applyFont="1" applyBorder="1"/>
    <xf numFmtId="4" fontId="12" fillId="0" borderId="0" xfId="0" applyNumberFormat="1" applyFont="1" applyBorder="1"/>
    <xf numFmtId="2" fontId="12" fillId="0" borderId="0" xfId="0" applyNumberFormat="1" applyFont="1" applyBorder="1"/>
    <xf numFmtId="4" fontId="18" fillId="0" borderId="0" xfId="0" applyNumberFormat="1" applyFont="1" applyBorder="1" applyAlignment="1">
      <alignment horizontal="center" vertical="center"/>
    </xf>
    <xf numFmtId="0" fontId="32" fillId="0" borderId="0" xfId="0" applyFont="1" applyBorder="1"/>
    <xf numFmtId="0" fontId="8" fillId="2" borderId="0" xfId="8" applyFont="1" applyFill="1" applyBorder="1"/>
    <xf numFmtId="0" fontId="8" fillId="0" borderId="4" xfId="9" applyFont="1" applyBorder="1" applyAlignment="1">
      <alignment horizontal="justify" vertical="center" wrapText="1"/>
    </xf>
    <xf numFmtId="0" fontId="8" fillId="0" borderId="2" xfId="9" applyFont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/>
    </xf>
    <xf numFmtId="164" fontId="8" fillId="2" borderId="2" xfId="8" applyNumberFormat="1" applyFont="1" applyFill="1" applyBorder="1" applyAlignment="1">
      <alignment horizontal="center" vertical="center"/>
    </xf>
    <xf numFmtId="0" fontId="8" fillId="2" borderId="2" xfId="8" applyFont="1" applyFill="1" applyBorder="1" applyAlignment="1">
      <alignment wrapText="1"/>
    </xf>
    <xf numFmtId="0" fontId="8" fillId="2" borderId="0" xfId="8" applyFont="1" applyFill="1" applyBorder="1" applyAlignment="1">
      <alignment wrapText="1"/>
    </xf>
    <xf numFmtId="0" fontId="8" fillId="0" borderId="1" xfId="9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1" fillId="0" borderId="3" xfId="0" applyFont="1" applyBorder="1" applyAlignment="1"/>
    <xf numFmtId="0" fontId="1" fillId="0" borderId="5" xfId="0" applyFont="1" applyBorder="1" applyAlignment="1"/>
    <xf numFmtId="0" fontId="37" fillId="0" borderId="1" xfId="0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/>
    </xf>
    <xf numFmtId="0" fontId="24" fillId="0" borderId="1" xfId="7" applyFont="1" applyBorder="1" applyAlignment="1">
      <alignment horizontal="center" wrapText="1"/>
    </xf>
    <xf numFmtId="0" fontId="7" fillId="0" borderId="6" xfId="7" applyFont="1" applyBorder="1" applyAlignment="1">
      <alignment horizontal="center"/>
    </xf>
    <xf numFmtId="0" fontId="7" fillId="0" borderId="7" xfId="7" applyFont="1" applyBorder="1" applyAlignment="1">
      <alignment horizontal="center"/>
    </xf>
    <xf numFmtId="0" fontId="7" fillId="0" borderId="8" xfId="7" applyFont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7" fillId="3" borderId="6" xfId="8" applyFont="1" applyFill="1" applyBorder="1" applyAlignment="1">
      <alignment horizontal="center" vertical="center" wrapText="1"/>
    </xf>
    <xf numFmtId="0" fontId="7" fillId="3" borderId="7" xfId="8" applyFont="1" applyFill="1" applyBorder="1" applyAlignment="1">
      <alignment horizontal="center" vertical="center" wrapText="1"/>
    </xf>
    <xf numFmtId="0" fontId="7" fillId="3" borderId="8" xfId="8" applyFont="1" applyFill="1" applyBorder="1" applyAlignment="1">
      <alignment horizontal="center" vertical="center" wrapText="1"/>
    </xf>
    <xf numFmtId="0" fontId="7" fillId="3" borderId="6" xfId="8" applyFont="1" applyFill="1" applyBorder="1" applyAlignment="1">
      <alignment horizontal="center" vertical="top" wrapText="1"/>
    </xf>
    <xf numFmtId="0" fontId="7" fillId="3" borderId="7" xfId="8" applyFont="1" applyFill="1" applyBorder="1" applyAlignment="1">
      <alignment horizontal="center" vertical="top" wrapText="1"/>
    </xf>
    <xf numFmtId="0" fontId="7" fillId="3" borderId="8" xfId="8" applyFont="1" applyFill="1" applyBorder="1" applyAlignment="1">
      <alignment horizontal="center" vertical="top" wrapText="1"/>
    </xf>
    <xf numFmtId="0" fontId="7" fillId="2" borderId="2" xfId="8" applyFont="1" applyFill="1" applyBorder="1" applyAlignment="1">
      <alignment horizontal="center" vertical="center" wrapText="1"/>
    </xf>
    <xf numFmtId="0" fontId="7" fillId="2" borderId="3" xfId="8" applyFont="1" applyFill="1" applyBorder="1" applyAlignment="1">
      <alignment horizontal="center" vertical="center" wrapText="1"/>
    </xf>
    <xf numFmtId="0" fontId="7" fillId="2" borderId="5" xfId="8" applyFont="1" applyFill="1" applyBorder="1" applyAlignment="1">
      <alignment horizontal="center" vertical="center" wrapText="1"/>
    </xf>
    <xf numFmtId="0" fontId="38" fillId="2" borderId="9" xfId="8" applyFont="1" applyFill="1" applyBorder="1" applyAlignment="1">
      <alignment horizontal="center" vertical="center" wrapText="1"/>
    </xf>
    <xf numFmtId="0" fontId="38" fillId="2" borderId="0" xfId="8" applyFont="1" applyFill="1" applyBorder="1" applyAlignment="1">
      <alignment horizontal="center" vertical="center" wrapText="1"/>
    </xf>
    <xf numFmtId="0" fontId="38" fillId="2" borderId="15" xfId="8" applyFont="1" applyFill="1" applyBorder="1" applyAlignment="1">
      <alignment horizontal="center" vertical="center" wrapText="1"/>
    </xf>
    <xf numFmtId="0" fontId="38" fillId="2" borderId="13" xfId="8" applyFont="1" applyFill="1" applyBorder="1" applyAlignment="1">
      <alignment horizontal="center" vertical="center" wrapText="1"/>
    </xf>
    <xf numFmtId="0" fontId="38" fillId="2" borderId="12" xfId="8" applyFont="1" applyFill="1" applyBorder="1" applyAlignment="1">
      <alignment horizontal="center" vertical="center" wrapText="1"/>
    </xf>
    <xf numFmtId="0" fontId="38" fillId="2" borderId="16" xfId="8" applyFont="1" applyFill="1" applyBorder="1" applyAlignment="1">
      <alignment horizontal="center" vertical="center" wrapText="1"/>
    </xf>
    <xf numFmtId="0" fontId="7" fillId="2" borderId="2" xfId="8" applyFont="1" applyFill="1" applyBorder="1" applyAlignment="1">
      <alignment horizontal="center" vertical="center"/>
    </xf>
    <xf numFmtId="0" fontId="7" fillId="2" borderId="3" xfId="8" applyFont="1" applyFill="1" applyBorder="1" applyAlignment="1">
      <alignment horizontal="center" vertical="center"/>
    </xf>
    <xf numFmtId="0" fontId="7" fillId="2" borderId="5" xfId="8" applyFont="1" applyFill="1" applyBorder="1" applyAlignment="1">
      <alignment horizontal="center" vertical="center"/>
    </xf>
    <xf numFmtId="0" fontId="21" fillId="2" borderId="6" xfId="8" applyFont="1" applyFill="1" applyBorder="1" applyAlignment="1">
      <alignment horizontal="center" wrapText="1"/>
    </xf>
    <xf numFmtId="0" fontId="21" fillId="2" borderId="7" xfId="8" applyFont="1" applyFill="1" applyBorder="1" applyAlignment="1">
      <alignment horizontal="center" wrapText="1"/>
    </xf>
    <xf numFmtId="0" fontId="21" fillId="2" borderId="8" xfId="8" applyFont="1" applyFill="1" applyBorder="1" applyAlignment="1">
      <alignment horizontal="center" wrapText="1"/>
    </xf>
    <xf numFmtId="0" fontId="7" fillId="2" borderId="6" xfId="8" applyFont="1" applyFill="1" applyBorder="1" applyAlignment="1">
      <alignment horizontal="center" vertical="center" wrapText="1"/>
    </xf>
    <xf numFmtId="0" fontId="7" fillId="2" borderId="7" xfId="8" applyFont="1" applyFill="1" applyBorder="1" applyAlignment="1">
      <alignment horizontal="center" vertical="center" wrapText="1"/>
    </xf>
    <xf numFmtId="0" fontId="7" fillId="2" borderId="8" xfId="8" applyFont="1" applyFill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 wrapText="1"/>
    </xf>
    <xf numFmtId="0" fontId="7" fillId="0" borderId="7" xfId="9" applyFont="1" applyBorder="1" applyAlignment="1">
      <alignment horizontal="center" vertical="center" wrapText="1"/>
    </xf>
    <xf numFmtId="0" fontId="7" fillId="0" borderId="8" xfId="9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7" fillId="0" borderId="7" xfId="8" applyFont="1" applyBorder="1" applyAlignment="1">
      <alignment horizontal="center" vertical="center" wrapText="1"/>
    </xf>
    <xf numFmtId="0" fontId="7" fillId="0" borderId="8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/>
    </xf>
    <xf numFmtId="0" fontId="7" fillId="0" borderId="7" xfId="8" applyFont="1" applyBorder="1" applyAlignment="1">
      <alignment horizontal="center" vertical="center"/>
    </xf>
    <xf numFmtId="0" fontId="7" fillId="0" borderId="8" xfId="8" applyFont="1" applyBorder="1" applyAlignment="1">
      <alignment horizontal="center" vertical="center"/>
    </xf>
    <xf numFmtId="0" fontId="24" fillId="0" borderId="6" xfId="9" applyFont="1" applyBorder="1" applyAlignment="1">
      <alignment horizontal="left" vertical="top" wrapText="1"/>
    </xf>
    <xf numFmtId="0" fontId="24" fillId="0" borderId="7" xfId="9" applyFont="1" applyBorder="1" applyAlignment="1">
      <alignment horizontal="left" vertical="top" wrapText="1"/>
    </xf>
    <xf numFmtId="0" fontId="24" fillId="0" borderId="8" xfId="9" applyFont="1" applyBorder="1" applyAlignment="1">
      <alignment horizontal="left" vertical="top" wrapText="1"/>
    </xf>
    <xf numFmtId="0" fontId="24" fillId="0" borderId="6" xfId="9" applyFont="1" applyBorder="1" applyAlignment="1">
      <alignment horizontal="center" vertical="top" wrapText="1"/>
    </xf>
    <xf numFmtId="0" fontId="24" fillId="0" borderId="7" xfId="9" applyFont="1" applyBorder="1" applyAlignment="1">
      <alignment horizontal="center" vertical="top" wrapText="1"/>
    </xf>
    <xf numFmtId="0" fontId="24" fillId="0" borderId="8" xfId="9" applyFont="1" applyBorder="1" applyAlignment="1">
      <alignment horizontal="center" vertical="top" wrapText="1"/>
    </xf>
    <xf numFmtId="0" fontId="24" fillId="2" borderId="1" xfId="8" applyFont="1" applyFill="1" applyBorder="1" applyAlignment="1">
      <alignment horizontal="center" vertical="center" wrapText="1"/>
    </xf>
    <xf numFmtId="0" fontId="24" fillId="3" borderId="6" xfId="8" applyFont="1" applyFill="1" applyBorder="1" applyAlignment="1">
      <alignment horizontal="center" vertical="center" wrapText="1"/>
    </xf>
    <xf numFmtId="0" fontId="24" fillId="3" borderId="7" xfId="8" applyFont="1" applyFill="1" applyBorder="1" applyAlignment="1">
      <alignment horizontal="center" vertical="center" wrapText="1"/>
    </xf>
    <xf numFmtId="0" fontId="24" fillId="3" borderId="8" xfId="8" applyFont="1" applyFill="1" applyBorder="1" applyAlignment="1">
      <alignment horizontal="center" vertical="center" wrapText="1"/>
    </xf>
    <xf numFmtId="0" fontId="7" fillId="11" borderId="1" xfId="9" applyFont="1" applyFill="1" applyBorder="1" applyAlignment="1">
      <alignment horizontal="center" vertical="center" wrapText="1"/>
    </xf>
    <xf numFmtId="0" fontId="8" fillId="11" borderId="1" xfId="9" applyFont="1" applyFill="1" applyBorder="1" applyAlignment="1">
      <alignment horizontal="center" vertical="center" wrapText="1"/>
    </xf>
    <xf numFmtId="0" fontId="7" fillId="11" borderId="1" xfId="9" applyFont="1" applyFill="1" applyBorder="1" applyAlignment="1">
      <alignment horizontal="center" vertical="top" wrapText="1"/>
    </xf>
    <xf numFmtId="0" fontId="8" fillId="11" borderId="1" xfId="9" applyFont="1" applyFill="1" applyBorder="1" applyAlignment="1">
      <alignment horizontal="center" vertical="top" wrapText="1"/>
    </xf>
    <xf numFmtId="0" fontId="7" fillId="11" borderId="1" xfId="8" applyFont="1" applyFill="1" applyBorder="1" applyAlignment="1">
      <alignment horizontal="center" vertical="center" wrapText="1"/>
    </xf>
    <xf numFmtId="0" fontId="8" fillId="11" borderId="1" xfId="9" applyFont="1" applyFill="1" applyBorder="1" applyAlignment="1">
      <alignment horizontal="center" vertical="center"/>
    </xf>
    <xf numFmtId="0" fontId="8" fillId="11" borderId="5" xfId="9" applyFont="1" applyFill="1" applyBorder="1" applyAlignment="1">
      <alignment horizontal="center" vertical="center"/>
    </xf>
    <xf numFmtId="164" fontId="24" fillId="3" borderId="1" xfId="8" applyNumberFormat="1" applyFont="1" applyFill="1" applyBorder="1" applyAlignment="1">
      <alignment horizontal="center" vertical="center" wrapText="1"/>
    </xf>
    <xf numFmtId="0" fontId="24" fillId="3" borderId="1" xfId="8" applyFont="1" applyFill="1" applyBorder="1" applyAlignment="1">
      <alignment horizontal="center" vertical="center" wrapText="1"/>
    </xf>
    <xf numFmtId="0" fontId="24" fillId="0" borderId="1" xfId="8" applyFont="1" applyBorder="1" applyAlignment="1">
      <alignment horizontal="center" vertical="center" wrapText="1"/>
    </xf>
    <xf numFmtId="164" fontId="24" fillId="3" borderId="1" xfId="8" applyNumberFormat="1" applyFont="1" applyFill="1" applyBorder="1" applyAlignment="1">
      <alignment horizontal="center" vertical="center"/>
    </xf>
    <xf numFmtId="0" fontId="15" fillId="0" borderId="7" xfId="9" applyFont="1" applyBorder="1" applyAlignment="1">
      <alignment horizontal="left"/>
    </xf>
    <xf numFmtId="0" fontId="15" fillId="0" borderId="8" xfId="9" applyFont="1" applyBorder="1" applyAlignment="1">
      <alignment horizontal="left"/>
    </xf>
    <xf numFmtId="0" fontId="15" fillId="3" borderId="1" xfId="2" applyFont="1" applyFill="1" applyBorder="1" applyAlignment="1">
      <alignment horizontal="center" vertical="center" wrapText="1"/>
    </xf>
    <xf numFmtId="0" fontId="7" fillId="3" borderId="1" xfId="9" applyFont="1" applyFill="1" applyBorder="1" applyAlignment="1">
      <alignment vertical="center" wrapText="1"/>
    </xf>
    <xf numFmtId="0" fontId="24" fillId="0" borderId="6" xfId="8" applyFont="1" applyFill="1" applyBorder="1" applyAlignment="1">
      <alignment horizontal="center" vertical="center" wrapText="1"/>
    </xf>
    <xf numFmtId="0" fontId="24" fillId="0" borderId="7" xfId="8" applyFont="1" applyFill="1" applyBorder="1" applyAlignment="1">
      <alignment horizontal="center" vertical="center" wrapText="1"/>
    </xf>
    <xf numFmtId="0" fontId="24" fillId="0" borderId="8" xfId="8" applyFont="1" applyFill="1" applyBorder="1" applyAlignment="1">
      <alignment horizontal="center" vertical="center" wrapText="1"/>
    </xf>
    <xf numFmtId="0" fontId="15" fillId="2" borderId="2" xfId="8" applyFont="1" applyFill="1" applyBorder="1" applyAlignment="1">
      <alignment horizontal="center" vertical="center" wrapText="1"/>
    </xf>
    <xf numFmtId="0" fontId="13" fillId="0" borderId="7" xfId="9" applyFont="1" applyBorder="1" applyAlignment="1">
      <alignment horizontal="left"/>
    </xf>
    <xf numFmtId="0" fontId="13" fillId="0" borderId="8" xfId="9" applyFont="1" applyBorder="1" applyAlignment="1">
      <alignment horizontal="left"/>
    </xf>
    <xf numFmtId="0" fontId="7" fillId="0" borderId="6" xfId="8" applyFont="1" applyFill="1" applyBorder="1" applyAlignment="1">
      <alignment horizontal="center" vertical="center" wrapText="1"/>
    </xf>
    <xf numFmtId="0" fontId="7" fillId="0" borderId="7" xfId="8" applyFont="1" applyFill="1" applyBorder="1" applyAlignment="1">
      <alignment horizontal="center" vertical="center" wrapText="1"/>
    </xf>
    <xf numFmtId="0" fontId="7" fillId="0" borderId="8" xfId="8" applyFont="1" applyFill="1" applyBorder="1" applyAlignment="1">
      <alignment horizontal="center" vertical="center" wrapText="1"/>
    </xf>
    <xf numFmtId="0" fontId="7" fillId="11" borderId="5" xfId="8" applyFont="1" applyFill="1" applyBorder="1" applyAlignment="1">
      <alignment horizontal="center" vertical="center" wrapText="1"/>
    </xf>
    <xf numFmtId="0" fontId="8" fillId="11" borderId="5" xfId="8" applyFont="1" applyFill="1" applyBorder="1" applyAlignment="1">
      <alignment vertical="center" wrapText="1"/>
    </xf>
    <xf numFmtId="0" fontId="7" fillId="11" borderId="1" xfId="8" applyFont="1" applyFill="1" applyBorder="1" applyAlignment="1">
      <alignment vertical="center" wrapText="1"/>
    </xf>
    <xf numFmtId="0" fontId="24" fillId="2" borderId="6" xfId="8" applyFont="1" applyFill="1" applyBorder="1" applyAlignment="1">
      <alignment horizontal="center" vertical="center" wrapText="1"/>
    </xf>
    <xf numFmtId="0" fontId="24" fillId="2" borderId="7" xfId="8" applyFont="1" applyFill="1" applyBorder="1" applyAlignment="1">
      <alignment horizontal="center" vertical="center" wrapText="1"/>
    </xf>
    <xf numFmtId="0" fontId="24" fillId="2" borderId="8" xfId="8" applyFont="1" applyFill="1" applyBorder="1" applyAlignment="1">
      <alignment horizontal="center" vertical="center" wrapText="1"/>
    </xf>
    <xf numFmtId="0" fontId="8" fillId="11" borderId="1" xfId="8" applyFont="1" applyFill="1" applyBorder="1" applyAlignment="1">
      <alignment horizontal="center" vertical="center" wrapText="1"/>
    </xf>
    <xf numFmtId="0" fontId="8" fillId="11" borderId="1" xfId="8" applyFont="1" applyFill="1" applyBorder="1" applyAlignment="1">
      <alignment vertical="center"/>
    </xf>
    <xf numFmtId="0" fontId="8" fillId="11" borderId="1" xfId="8" applyFont="1" applyFill="1" applyBorder="1" applyAlignment="1">
      <alignment vertical="center" wrapText="1"/>
    </xf>
    <xf numFmtId="0" fontId="24" fillId="3" borderId="1" xfId="9" applyFont="1" applyFill="1" applyBorder="1" applyAlignment="1">
      <alignment horizontal="center" vertical="center"/>
    </xf>
    <xf numFmtId="0" fontId="24" fillId="3" borderId="1" xfId="8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9" applyFont="1" applyFill="1" applyBorder="1" applyAlignment="1">
      <alignment horizontal="center" vertical="center" wrapText="1"/>
    </xf>
    <xf numFmtId="0" fontId="7" fillId="3" borderId="1" xfId="8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/>
    </xf>
    <xf numFmtId="0" fontId="7" fillId="2" borderId="1" xfId="8" applyFont="1" applyFill="1" applyBorder="1" applyAlignment="1">
      <alignment vertical="center"/>
    </xf>
    <xf numFmtId="0" fontId="7" fillId="2" borderId="1" xfId="8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vertical="center" wrapText="1"/>
    </xf>
    <xf numFmtId="0" fontId="21" fillId="11" borderId="1" xfId="8" applyFont="1" applyFill="1" applyBorder="1" applyAlignment="1">
      <alignment horizontal="center" vertical="center" wrapText="1"/>
    </xf>
    <xf numFmtId="0" fontId="24" fillId="2" borderId="1" xfId="8" applyFont="1" applyFill="1" applyBorder="1" applyAlignment="1">
      <alignment horizontal="center" vertical="center"/>
    </xf>
    <xf numFmtId="0" fontId="7" fillId="7" borderId="1" xfId="9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8" fillId="10" borderId="1" xfId="0" applyFont="1" applyFill="1" applyBorder="1" applyAlignment="1">
      <alignment horizontal="left" vertical="top" wrapText="1"/>
    </xf>
    <xf numFmtId="0" fontId="8" fillId="3" borderId="1" xfId="8" applyFont="1" applyFill="1" applyBorder="1" applyAlignment="1">
      <alignment horizontal="center" vertical="center"/>
    </xf>
    <xf numFmtId="0" fontId="8" fillId="3" borderId="1" xfId="8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31">
    <cellStyle name="st51" xfId="19"/>
    <cellStyle name="st51 2" xfId="25"/>
    <cellStyle name="xl61" xfId="23"/>
    <cellStyle name="xl64" xfId="18"/>
    <cellStyle name="xl65" xfId="24"/>
    <cellStyle name="Обычный" xfId="0" builtinId="0"/>
    <cellStyle name="Обычный 10" xfId="10"/>
    <cellStyle name="Обычный 10 2" xfId="28"/>
    <cellStyle name="Обычный 12" xfId="6"/>
    <cellStyle name="Обычный 13" xfId="16"/>
    <cellStyle name="Обычный 14" xfId="15"/>
    <cellStyle name="Обычный 15" xfId="3"/>
    <cellStyle name="Обычный 16" xfId="4"/>
    <cellStyle name="Обычный 2" xfId="1"/>
    <cellStyle name="Обычный 2 2" xfId="8"/>
    <cellStyle name="Обычный 2 2 2" xfId="26"/>
    <cellStyle name="Обычный 2 3" xfId="7"/>
    <cellStyle name="Обычный 2 4" xfId="22"/>
    <cellStyle name="Обычный 2 5" xfId="20"/>
    <cellStyle name="Обычный 3" xfId="9"/>
    <cellStyle name="Обычный 3 2" xfId="21"/>
    <cellStyle name="Обычный 4" xfId="2"/>
    <cellStyle name="Обычный 5" xfId="13"/>
    <cellStyle name="Обычный 6" xfId="12"/>
    <cellStyle name="Обычный 7" xfId="11"/>
    <cellStyle name="Обычный 9" xfId="14"/>
    <cellStyle name="Процентный 3" xfId="5"/>
    <cellStyle name="Финансовый 2" xfId="17"/>
    <cellStyle name="Финансовый 2 2" xfId="30"/>
    <cellStyle name="Финансовый 3" xfId="27"/>
    <cellStyle name="Финансовый 4" xfId="29"/>
  </cellStyles>
  <dxfs count="8"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DE8-4EBB-B194-4B5354B870F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DE8-4EBB-B194-4B5354B870F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DE8-4EBB-B194-4B5354B870F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DE8-4EBB-B194-4B5354B870F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DE8-4EBB-B194-4B5354B870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свод!$I$427:$I$431</c:f>
            </c:multiLvlStrRef>
          </c:cat>
          <c:val>
            <c:numRef>
              <c:f>свод!$J$425:$N$425</c:f>
            </c:numRef>
          </c:val>
          <c:extLst>
            <c:ext xmlns:c16="http://schemas.microsoft.com/office/drawing/2014/chart" uri="{C3380CC4-5D6E-409C-BE32-E72D297353CC}">
              <c16:uniqueId val="{0000000A-8DE8-4EBB-B194-4B5354B870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597477</xdr:colOff>
      <xdr:row>429</xdr:row>
      <xdr:rowOff>109104</xdr:rowOff>
    </xdr:from>
    <xdr:to>
      <xdr:col>13</xdr:col>
      <xdr:colOff>441613</xdr:colOff>
      <xdr:row>442</xdr:row>
      <xdr:rowOff>150667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8"/>
  <sheetViews>
    <sheetView zoomScaleNormal="100" workbookViewId="0">
      <selection activeCell="B25" sqref="B25"/>
    </sheetView>
  </sheetViews>
  <sheetFormatPr defaultRowHeight="15" x14ac:dyDescent="0.25"/>
  <cols>
    <col min="2" max="2" width="23.140625" customWidth="1"/>
    <col min="4" max="4" width="34.7109375" customWidth="1"/>
    <col min="6" max="6" width="10.28515625" hidden="1" customWidth="1"/>
    <col min="7" max="7" width="0" hidden="1" customWidth="1"/>
    <col min="8" max="8" width="12" hidden="1" customWidth="1"/>
    <col min="9" max="9" width="0" hidden="1" customWidth="1"/>
    <col min="10" max="10" width="10.85546875" hidden="1" customWidth="1"/>
    <col min="11" max="11" width="11" hidden="1" customWidth="1"/>
    <col min="12" max="14" width="0" hidden="1" customWidth="1"/>
    <col min="15" max="15" width="11.42578125" hidden="1" customWidth="1"/>
    <col min="16" max="16" width="11.85546875" hidden="1" customWidth="1"/>
    <col min="17" max="19" width="0" hidden="1" customWidth="1"/>
    <col min="20" max="20" width="12.42578125" hidden="1" customWidth="1"/>
    <col min="21" max="22" width="0" hidden="1" customWidth="1"/>
    <col min="23" max="23" width="10.5703125" hidden="1" customWidth="1"/>
    <col min="24" max="26" width="0" hidden="1" customWidth="1"/>
    <col min="27" max="27" width="11.85546875" hidden="1" customWidth="1"/>
  </cols>
  <sheetData>
    <row r="1" spans="1:32" s="440" customFormat="1" x14ac:dyDescent="0.25">
      <c r="A1" s="745" t="s">
        <v>1</v>
      </c>
      <c r="B1" s="745" t="s">
        <v>2</v>
      </c>
      <c r="C1" s="745"/>
      <c r="D1" s="748" t="s">
        <v>3</v>
      </c>
      <c r="E1" s="748" t="s">
        <v>4</v>
      </c>
      <c r="F1" s="751" t="s">
        <v>1179</v>
      </c>
      <c r="G1" s="746" t="s">
        <v>1172</v>
      </c>
      <c r="H1" s="746" t="s">
        <v>1173</v>
      </c>
      <c r="I1" s="746" t="s">
        <v>1174</v>
      </c>
      <c r="J1" s="746" t="s">
        <v>1175</v>
      </c>
      <c r="K1" s="746" t="s">
        <v>1176</v>
      </c>
      <c r="L1" s="746" t="s">
        <v>1177</v>
      </c>
      <c r="M1" s="746" t="s">
        <v>1178</v>
      </c>
      <c r="N1" s="746" t="s">
        <v>1180</v>
      </c>
      <c r="O1" s="746" t="s">
        <v>1181</v>
      </c>
      <c r="P1" s="746" t="s">
        <v>1182</v>
      </c>
      <c r="Q1" s="746" t="s">
        <v>1183</v>
      </c>
      <c r="R1" s="746" t="s">
        <v>1184</v>
      </c>
      <c r="S1" s="746" t="s">
        <v>1185</v>
      </c>
      <c r="T1" s="746" t="s">
        <v>1186</v>
      </c>
      <c r="U1" s="746" t="s">
        <v>1187</v>
      </c>
      <c r="V1" s="746" t="s">
        <v>1188</v>
      </c>
      <c r="W1" s="746" t="s">
        <v>1189</v>
      </c>
      <c r="X1" s="746" t="s">
        <v>1190</v>
      </c>
      <c r="Y1" s="746" t="s">
        <v>1191</v>
      </c>
      <c r="Z1" s="746" t="s">
        <v>1192</v>
      </c>
      <c r="AA1" s="746" t="s">
        <v>1198</v>
      </c>
      <c r="AB1" s="754"/>
      <c r="AC1" s="754"/>
      <c r="AD1" s="754"/>
      <c r="AE1" s="754"/>
      <c r="AF1" s="754"/>
    </row>
    <row r="2" spans="1:32" s="440" customFormat="1" ht="51.75" x14ac:dyDescent="0.25">
      <c r="A2" s="745"/>
      <c r="B2" s="3" t="s">
        <v>5</v>
      </c>
      <c r="C2" s="3" t="s">
        <v>6</v>
      </c>
      <c r="D2" s="749"/>
      <c r="E2" s="749"/>
      <c r="F2" s="752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754"/>
      <c r="AC2" s="754"/>
      <c r="AD2" s="754"/>
      <c r="AE2" s="754"/>
      <c r="AF2" s="754"/>
    </row>
    <row r="3" spans="1:32" s="440" customFormat="1" x14ac:dyDescent="0.25">
      <c r="A3" s="745"/>
      <c r="B3" s="3" t="s">
        <v>7</v>
      </c>
      <c r="C3" s="3" t="s">
        <v>8</v>
      </c>
      <c r="D3" s="750"/>
      <c r="E3" s="750"/>
      <c r="F3" s="753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54"/>
      <c r="AC3" s="754"/>
      <c r="AD3" s="754"/>
      <c r="AE3" s="754"/>
      <c r="AF3" s="754"/>
    </row>
    <row r="4" spans="1:32" ht="38.25" x14ac:dyDescent="0.25">
      <c r="A4" s="743" t="s">
        <v>9</v>
      </c>
      <c r="B4" s="743" t="s">
        <v>10</v>
      </c>
      <c r="C4" s="744">
        <v>0.55000000000000004</v>
      </c>
      <c r="D4" s="312" t="s">
        <v>11</v>
      </c>
      <c r="E4" s="313">
        <v>100</v>
      </c>
      <c r="F4" s="571">
        <v>100</v>
      </c>
      <c r="G4" s="572">
        <v>100</v>
      </c>
      <c r="H4" s="572">
        <v>100</v>
      </c>
      <c r="I4" s="572"/>
      <c r="J4" s="572"/>
      <c r="K4" s="572">
        <v>100</v>
      </c>
      <c r="L4" s="572">
        <v>100</v>
      </c>
      <c r="M4" s="572">
        <v>100</v>
      </c>
      <c r="N4" s="572">
        <v>100</v>
      </c>
      <c r="O4" s="572">
        <v>100</v>
      </c>
      <c r="P4" s="572">
        <v>100</v>
      </c>
      <c r="Q4" s="572">
        <v>100</v>
      </c>
      <c r="R4" s="572"/>
      <c r="S4" s="572">
        <v>100</v>
      </c>
      <c r="T4" s="572">
        <v>100</v>
      </c>
      <c r="U4" s="572"/>
      <c r="V4" s="572"/>
      <c r="W4" s="572"/>
      <c r="X4" s="572"/>
      <c r="Y4" s="572"/>
      <c r="Z4" s="573"/>
      <c r="AA4" s="581"/>
    </row>
    <row r="5" spans="1:32" ht="25.5" x14ac:dyDescent="0.25">
      <c r="A5" s="743"/>
      <c r="B5" s="743"/>
      <c r="C5" s="744"/>
      <c r="D5" s="312" t="s">
        <v>12</v>
      </c>
      <c r="E5" s="313">
        <v>80</v>
      </c>
      <c r="F5" s="7"/>
      <c r="G5" s="442"/>
      <c r="H5" s="442"/>
      <c r="I5" s="442">
        <v>80</v>
      </c>
      <c r="J5" s="442">
        <v>80</v>
      </c>
      <c r="K5" s="442"/>
      <c r="L5" s="442"/>
      <c r="M5" s="442"/>
      <c r="N5" s="442"/>
      <c r="O5" s="442"/>
      <c r="P5" s="442"/>
      <c r="Q5" s="442"/>
      <c r="R5" s="442">
        <v>80</v>
      </c>
      <c r="S5" s="442"/>
      <c r="T5" s="442"/>
      <c r="U5" s="442">
        <v>80</v>
      </c>
      <c r="V5" s="442">
        <v>80</v>
      </c>
      <c r="W5" s="442">
        <v>80</v>
      </c>
      <c r="X5" s="442">
        <v>80</v>
      </c>
      <c r="Y5" s="442">
        <v>80</v>
      </c>
      <c r="Z5" s="461">
        <v>80</v>
      </c>
      <c r="AA5" s="581">
        <v>80</v>
      </c>
    </row>
    <row r="6" spans="1:32" ht="25.5" x14ac:dyDescent="0.25">
      <c r="A6" s="743"/>
      <c r="B6" s="743"/>
      <c r="C6" s="744"/>
      <c r="D6" s="312" t="s">
        <v>13</v>
      </c>
      <c r="E6" s="313">
        <v>50</v>
      </c>
      <c r="F6" s="7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61"/>
      <c r="AA6" s="581"/>
    </row>
    <row r="7" spans="1:32" ht="25.5" x14ac:dyDescent="0.25">
      <c r="A7" s="743"/>
      <c r="B7" s="743"/>
      <c r="C7" s="744"/>
      <c r="D7" s="312" t="s">
        <v>14</v>
      </c>
      <c r="E7" s="313">
        <v>20</v>
      </c>
      <c r="F7" s="441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61"/>
      <c r="AA7" s="581"/>
    </row>
    <row r="8" spans="1:32" ht="25.5" x14ac:dyDescent="0.25">
      <c r="A8" s="747" t="s">
        <v>15</v>
      </c>
      <c r="B8" s="747" t="s">
        <v>26</v>
      </c>
      <c r="C8" s="742">
        <v>0.01</v>
      </c>
      <c r="D8" s="314" t="s">
        <v>16</v>
      </c>
      <c r="E8" s="315">
        <v>100</v>
      </c>
      <c r="F8" s="7">
        <v>100</v>
      </c>
      <c r="G8" s="442">
        <v>100</v>
      </c>
      <c r="H8" s="442">
        <v>100</v>
      </c>
      <c r="I8" s="442">
        <v>100</v>
      </c>
      <c r="J8" s="442">
        <v>100</v>
      </c>
      <c r="K8" s="442">
        <v>100</v>
      </c>
      <c r="L8" s="442">
        <v>100</v>
      </c>
      <c r="M8" s="442">
        <v>100</v>
      </c>
      <c r="N8" s="442">
        <v>100</v>
      </c>
      <c r="O8" s="442">
        <v>100</v>
      </c>
      <c r="P8" s="442">
        <v>100</v>
      </c>
      <c r="Q8" s="442">
        <v>100</v>
      </c>
      <c r="R8" s="442">
        <v>100</v>
      </c>
      <c r="S8" s="442">
        <v>100</v>
      </c>
      <c r="T8" s="442">
        <v>100</v>
      </c>
      <c r="U8" s="442">
        <v>100</v>
      </c>
      <c r="V8" s="442">
        <v>100</v>
      </c>
      <c r="W8" s="442"/>
      <c r="X8" s="442">
        <v>100</v>
      </c>
      <c r="Y8" s="442">
        <v>100</v>
      </c>
      <c r="Z8" s="442">
        <v>100</v>
      </c>
      <c r="AA8" s="442"/>
    </row>
    <row r="9" spans="1:32" ht="25.5" x14ac:dyDescent="0.25">
      <c r="A9" s="747"/>
      <c r="B9" s="747"/>
      <c r="C9" s="742"/>
      <c r="D9" s="314" t="s">
        <v>17</v>
      </c>
      <c r="E9" s="315">
        <v>50</v>
      </c>
      <c r="F9" s="7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</row>
    <row r="10" spans="1:32" ht="25.5" x14ac:dyDescent="0.25">
      <c r="A10" s="747"/>
      <c r="B10" s="747"/>
      <c r="C10" s="742"/>
      <c r="D10" s="314" t="s">
        <v>18</v>
      </c>
      <c r="E10" s="315">
        <v>20</v>
      </c>
      <c r="F10" s="7"/>
      <c r="G10" s="442"/>
      <c r="H10" s="442"/>
      <c r="I10" s="442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>
        <v>20</v>
      </c>
      <c r="X10" s="442"/>
      <c r="Y10" s="442"/>
      <c r="Z10" s="442"/>
      <c r="AA10" s="442">
        <v>20</v>
      </c>
    </row>
    <row r="11" spans="1:32" ht="25.5" x14ac:dyDescent="0.25">
      <c r="A11" s="743" t="s">
        <v>19</v>
      </c>
      <c r="B11" s="743" t="s">
        <v>27</v>
      </c>
      <c r="C11" s="744">
        <v>0.15</v>
      </c>
      <c r="D11" s="312" t="s">
        <v>16</v>
      </c>
      <c r="E11" s="313">
        <v>100</v>
      </c>
      <c r="F11" s="571">
        <v>100</v>
      </c>
      <c r="G11" s="442">
        <v>100</v>
      </c>
      <c r="H11" s="442">
        <v>100</v>
      </c>
      <c r="I11" s="442">
        <v>100</v>
      </c>
      <c r="J11" s="442">
        <v>100</v>
      </c>
      <c r="K11" s="442">
        <v>100</v>
      </c>
      <c r="L11" s="442">
        <v>100</v>
      </c>
      <c r="M11" s="442">
        <v>100</v>
      </c>
      <c r="N11" s="442">
        <v>100</v>
      </c>
      <c r="O11" s="442">
        <v>100</v>
      </c>
      <c r="P11" s="442">
        <v>100</v>
      </c>
      <c r="Q11" s="442">
        <v>100</v>
      </c>
      <c r="R11" s="442">
        <v>100</v>
      </c>
      <c r="S11" s="442">
        <v>100</v>
      </c>
      <c r="T11" s="442">
        <v>100</v>
      </c>
      <c r="U11" s="442">
        <v>100</v>
      </c>
      <c r="V11" s="442">
        <v>100</v>
      </c>
      <c r="W11" s="442">
        <v>100</v>
      </c>
      <c r="X11" s="442">
        <v>100</v>
      </c>
      <c r="Y11" s="442">
        <v>100</v>
      </c>
      <c r="Z11" s="442">
        <v>100</v>
      </c>
      <c r="AA11" s="442"/>
    </row>
    <row r="12" spans="1:32" ht="25.5" x14ac:dyDescent="0.25">
      <c r="A12" s="743"/>
      <c r="B12" s="743"/>
      <c r="C12" s="744"/>
      <c r="D12" s="312" t="s">
        <v>17</v>
      </c>
      <c r="E12" s="313">
        <v>50</v>
      </c>
      <c r="F12" s="7"/>
      <c r="G12" s="442"/>
      <c r="H12" s="442"/>
      <c r="I12" s="442"/>
      <c r="J12" s="442"/>
      <c r="K12" s="442"/>
      <c r="L12" s="442"/>
      <c r="M12" s="442"/>
      <c r="N12" s="442"/>
      <c r="O12" s="442"/>
      <c r="P12" s="442"/>
      <c r="Q12" s="442"/>
      <c r="R12" s="442"/>
      <c r="S12" s="442"/>
      <c r="T12" s="442"/>
      <c r="U12" s="442"/>
      <c r="V12" s="442"/>
      <c r="W12" s="442"/>
      <c r="X12" s="442"/>
      <c r="Y12" s="442"/>
      <c r="Z12" s="442"/>
      <c r="AA12" s="442"/>
    </row>
    <row r="13" spans="1:32" ht="25.5" x14ac:dyDescent="0.25">
      <c r="A13" s="743"/>
      <c r="B13" s="743"/>
      <c r="C13" s="744"/>
      <c r="D13" s="312" t="s">
        <v>18</v>
      </c>
      <c r="E13" s="313">
        <v>20</v>
      </c>
      <c r="F13" s="7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442">
        <v>20</v>
      </c>
    </row>
    <row r="14" spans="1:32" ht="23.25" customHeight="1" x14ac:dyDescent="0.25">
      <c r="A14" s="747" t="s">
        <v>20</v>
      </c>
      <c r="B14" s="747" t="s">
        <v>21</v>
      </c>
      <c r="C14" s="742">
        <v>0.15</v>
      </c>
      <c r="D14" s="314" t="s">
        <v>22</v>
      </c>
      <c r="E14" s="315">
        <v>100</v>
      </c>
      <c r="F14" s="7"/>
      <c r="G14" s="442"/>
      <c r="H14" s="442">
        <v>100</v>
      </c>
      <c r="I14" s="442">
        <v>100</v>
      </c>
      <c r="J14" s="442"/>
      <c r="K14" s="442"/>
      <c r="L14" s="442"/>
      <c r="M14" s="442"/>
      <c r="N14" s="442">
        <v>100</v>
      </c>
      <c r="O14" s="442"/>
      <c r="P14" s="442"/>
      <c r="Q14" s="442"/>
      <c r="R14" s="442"/>
      <c r="S14" s="442"/>
      <c r="T14" s="442"/>
      <c r="U14" s="442"/>
      <c r="V14" s="442">
        <v>100</v>
      </c>
      <c r="W14" s="442">
        <v>100</v>
      </c>
      <c r="X14" s="442"/>
      <c r="Y14" s="442">
        <v>100</v>
      </c>
      <c r="Z14" s="442">
        <v>100</v>
      </c>
      <c r="AA14" s="442"/>
    </row>
    <row r="15" spans="1:32" ht="21" customHeight="1" x14ac:dyDescent="0.25">
      <c r="A15" s="747"/>
      <c r="B15" s="747"/>
      <c r="C15" s="742"/>
      <c r="D15" s="314" t="s">
        <v>23</v>
      </c>
      <c r="E15" s="315">
        <v>50</v>
      </c>
      <c r="F15" s="7">
        <v>50</v>
      </c>
      <c r="G15" s="442">
        <v>50</v>
      </c>
      <c r="H15" s="442"/>
      <c r="I15" s="442"/>
      <c r="J15" s="442"/>
      <c r="K15" s="442"/>
      <c r="L15" s="442"/>
      <c r="M15" s="442">
        <v>50</v>
      </c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</row>
    <row r="16" spans="1:32" ht="21" customHeight="1" x14ac:dyDescent="0.25">
      <c r="A16" s="747"/>
      <c r="B16" s="747"/>
      <c r="C16" s="742"/>
      <c r="D16" s="314" t="s">
        <v>24</v>
      </c>
      <c r="E16" s="315">
        <v>20</v>
      </c>
      <c r="F16" s="7"/>
      <c r="G16" s="442"/>
      <c r="H16" s="442"/>
      <c r="I16" s="442"/>
      <c r="J16" s="442">
        <v>20</v>
      </c>
      <c r="K16" s="442">
        <v>20</v>
      </c>
      <c r="L16" s="442">
        <v>20</v>
      </c>
      <c r="M16" s="442"/>
      <c r="N16" s="442"/>
      <c r="O16" s="442">
        <v>20</v>
      </c>
      <c r="P16" s="442">
        <v>20</v>
      </c>
      <c r="Q16" s="442">
        <v>20</v>
      </c>
      <c r="R16" s="442">
        <v>20</v>
      </c>
      <c r="S16" s="442">
        <v>20</v>
      </c>
      <c r="T16" s="442">
        <v>20</v>
      </c>
      <c r="U16" s="442">
        <v>20</v>
      </c>
      <c r="V16" s="442"/>
      <c r="W16" s="442"/>
      <c r="X16" s="442">
        <v>20</v>
      </c>
      <c r="Y16" s="442"/>
      <c r="Z16" s="442"/>
      <c r="AA16" s="442">
        <v>20</v>
      </c>
    </row>
    <row r="17" spans="1:27" x14ac:dyDescent="0.25">
      <c r="A17" s="743" t="s">
        <v>25</v>
      </c>
      <c r="B17" s="743" t="s">
        <v>28</v>
      </c>
      <c r="C17" s="744">
        <v>0.14000000000000001</v>
      </c>
      <c r="D17" s="312" t="s">
        <v>29</v>
      </c>
      <c r="E17" s="313">
        <v>100</v>
      </c>
      <c r="F17" s="7"/>
      <c r="G17" s="442"/>
      <c r="H17" s="442">
        <v>100</v>
      </c>
      <c r="I17" s="442">
        <v>100</v>
      </c>
      <c r="J17" s="442">
        <v>100</v>
      </c>
      <c r="K17" s="442"/>
      <c r="L17" s="442"/>
      <c r="M17" s="442"/>
      <c r="N17" s="442"/>
      <c r="O17" s="442"/>
      <c r="P17" s="442">
        <v>100</v>
      </c>
      <c r="Q17" s="442"/>
      <c r="R17" s="442"/>
      <c r="S17" s="442">
        <v>100</v>
      </c>
      <c r="T17" s="442">
        <v>100</v>
      </c>
      <c r="U17" s="442">
        <v>100</v>
      </c>
      <c r="V17" s="442">
        <v>100</v>
      </c>
      <c r="W17" s="442">
        <v>100</v>
      </c>
      <c r="X17" s="442">
        <v>100</v>
      </c>
      <c r="Y17" s="442"/>
      <c r="Z17" s="442"/>
      <c r="AA17" s="442"/>
    </row>
    <row r="18" spans="1:27" x14ac:dyDescent="0.25">
      <c r="A18" s="743"/>
      <c r="B18" s="743"/>
      <c r="C18" s="744"/>
      <c r="D18" s="312" t="s">
        <v>30</v>
      </c>
      <c r="E18" s="313">
        <v>50</v>
      </c>
      <c r="F18" s="4">
        <v>50</v>
      </c>
      <c r="G18" s="442">
        <v>50</v>
      </c>
      <c r="H18" s="442"/>
      <c r="I18" s="442"/>
      <c r="J18" s="442"/>
      <c r="K18" s="442">
        <v>50</v>
      </c>
      <c r="L18" s="442">
        <v>50</v>
      </c>
      <c r="M18" s="442">
        <v>50</v>
      </c>
      <c r="N18" s="442">
        <v>50</v>
      </c>
      <c r="O18" s="442">
        <v>50</v>
      </c>
      <c r="P18" s="442"/>
      <c r="Q18" s="442">
        <v>50</v>
      </c>
      <c r="R18" s="442">
        <v>50</v>
      </c>
      <c r="S18" s="442"/>
      <c r="T18" s="442"/>
      <c r="U18" s="442"/>
      <c r="V18" s="442"/>
      <c r="W18" s="442"/>
      <c r="X18" s="442"/>
      <c r="Y18" s="442">
        <v>50</v>
      </c>
      <c r="Z18" s="442">
        <v>50</v>
      </c>
      <c r="AA18" s="442">
        <v>50</v>
      </c>
    </row>
  </sheetData>
  <mergeCells count="46">
    <mergeCell ref="AC1:AC3"/>
    <mergeCell ref="AD1:AD3"/>
    <mergeCell ref="AE1:AE3"/>
    <mergeCell ref="AF1:AF3"/>
    <mergeCell ref="X1:X3"/>
    <mergeCell ref="Y1:Y3"/>
    <mergeCell ref="Z1:Z3"/>
    <mergeCell ref="AA1:AA3"/>
    <mergeCell ref="AB1:AB3"/>
    <mergeCell ref="S1:S3"/>
    <mergeCell ref="T1:T3"/>
    <mergeCell ref="U1:U3"/>
    <mergeCell ref="V1:V3"/>
    <mergeCell ref="W1:W3"/>
    <mergeCell ref="N1:N3"/>
    <mergeCell ref="O1:O3"/>
    <mergeCell ref="P1:P3"/>
    <mergeCell ref="Q1:Q3"/>
    <mergeCell ref="R1:R3"/>
    <mergeCell ref="I1:I3"/>
    <mergeCell ref="J1:J3"/>
    <mergeCell ref="K1:K3"/>
    <mergeCell ref="L1:L3"/>
    <mergeCell ref="M1:M3"/>
    <mergeCell ref="A17:A18"/>
    <mergeCell ref="B17:B18"/>
    <mergeCell ref="C17:C18"/>
    <mergeCell ref="G1:G3"/>
    <mergeCell ref="H1:H3"/>
    <mergeCell ref="A11:A13"/>
    <mergeCell ref="B11:B13"/>
    <mergeCell ref="C11:C13"/>
    <mergeCell ref="A14:A16"/>
    <mergeCell ref="B14:B16"/>
    <mergeCell ref="C14:C16"/>
    <mergeCell ref="D1:D3"/>
    <mergeCell ref="E1:E3"/>
    <mergeCell ref="F1:F3"/>
    <mergeCell ref="A8:A10"/>
    <mergeCell ref="B8:B10"/>
    <mergeCell ref="C8:C10"/>
    <mergeCell ref="A4:A7"/>
    <mergeCell ref="B4:B7"/>
    <mergeCell ref="C4:C7"/>
    <mergeCell ref="A1:A3"/>
    <mergeCell ref="B1:C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6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15.75" x14ac:dyDescent="0.25">
      <c r="A4" s="871" t="s">
        <v>464</v>
      </c>
      <c r="B4" s="871"/>
      <c r="C4" s="871"/>
      <c r="D4" s="871"/>
      <c r="E4" s="871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92.25" customHeight="1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ht="1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15" customHeight="1" x14ac:dyDescent="0.25">
      <c r="A9" s="319" t="s">
        <v>9</v>
      </c>
      <c r="B9" s="319" t="s">
        <v>10</v>
      </c>
      <c r="C9" s="148">
        <v>0.55000000000000004</v>
      </c>
      <c r="D9" s="374">
        <v>80</v>
      </c>
      <c r="E9" s="10">
        <f>D9*C9</f>
        <v>44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20</v>
      </c>
      <c r="E10" s="10">
        <f>D10*C10</f>
        <v>0.2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428">
        <v>20</v>
      </c>
      <c r="E11" s="10">
        <f>D11*C11</f>
        <v>3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428">
        <v>20</v>
      </c>
      <c r="E12" s="10">
        <f>D12*C12</f>
        <v>3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428">
        <v>50</v>
      </c>
      <c r="E13" s="10">
        <f>D13*C13</f>
        <v>7.0000000000000009</v>
      </c>
    </row>
    <row r="14" spans="1:5" ht="15.75" x14ac:dyDescent="0.25">
      <c r="A14" s="324"/>
      <c r="B14" s="868" t="s">
        <v>36</v>
      </c>
      <c r="C14" s="868"/>
      <c r="D14" s="868"/>
      <c r="E14" s="377">
        <f>SUM(E9:E13)</f>
        <v>57.2</v>
      </c>
    </row>
    <row r="15" spans="1:5" ht="15.75" x14ac:dyDescent="0.25">
      <c r="A15" s="32"/>
    </row>
    <row r="16" spans="1:5" ht="15.75" x14ac:dyDescent="0.25">
      <c r="A16" s="32"/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7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15" customHeight="1" x14ac:dyDescent="0.25">
      <c r="A4" s="870" t="s">
        <v>1366</v>
      </c>
      <c r="B4" s="870"/>
      <c r="C4" s="870"/>
      <c r="D4" s="870"/>
      <c r="E4" s="870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92.25" customHeight="1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ht="1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15" customHeight="1" x14ac:dyDescent="0.25">
      <c r="A9" s="319" t="s">
        <v>9</v>
      </c>
      <c r="B9" s="319" t="s">
        <v>10</v>
      </c>
      <c r="C9" s="148">
        <v>0.55000000000000004</v>
      </c>
      <c r="D9" s="374">
        <v>80</v>
      </c>
      <c r="E9" s="10">
        <f>D9*C9</f>
        <v>44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20</v>
      </c>
      <c r="E10" s="10">
        <f>D10*C10</f>
        <v>0.2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428">
        <v>100</v>
      </c>
      <c r="E11" s="10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428">
        <v>100</v>
      </c>
      <c r="E12" s="10">
        <f>D12*C12</f>
        <v>15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428">
        <v>100</v>
      </c>
      <c r="E13" s="10">
        <f>D13*C13</f>
        <v>14.000000000000002</v>
      </c>
    </row>
    <row r="14" spans="1:5" ht="15.75" x14ac:dyDescent="0.25">
      <c r="A14" s="324"/>
      <c r="B14" s="868" t="s">
        <v>36</v>
      </c>
      <c r="C14" s="868"/>
      <c r="D14" s="868"/>
      <c r="E14" s="377">
        <f>SUM(E9:E13)</f>
        <v>88.2</v>
      </c>
    </row>
    <row r="15" spans="1:5" ht="15.75" x14ac:dyDescent="0.25">
      <c r="A15" s="11"/>
    </row>
    <row r="16" spans="1:5" ht="15.75" x14ac:dyDescent="0.25">
      <c r="A16" s="17"/>
    </row>
    <row r="17" spans="1:1" ht="15.75" customHeight="1" x14ac:dyDescent="0.25">
      <c r="A17" s="17"/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5"/>
  <sheetViews>
    <sheetView topLeftCell="A2"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15" customHeight="1" x14ac:dyDescent="0.25">
      <c r="A4" s="870" t="s">
        <v>1332</v>
      </c>
      <c r="B4" s="870"/>
      <c r="C4" s="870"/>
      <c r="D4" s="870"/>
      <c r="E4" s="870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92.25" customHeight="1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ht="1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15" customHeight="1" x14ac:dyDescent="0.25">
      <c r="A9" s="319" t="s">
        <v>9</v>
      </c>
      <c r="B9" s="319" t="s">
        <v>10</v>
      </c>
      <c r="C9" s="148">
        <v>0.55000000000000004</v>
      </c>
      <c r="D9" s="374">
        <v>100</v>
      </c>
      <c r="E9" s="10">
        <f>D9*C9</f>
        <v>55.000000000000007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100</v>
      </c>
      <c r="E10" s="10">
        <f>D10*C10</f>
        <v>1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428">
        <v>100</v>
      </c>
      <c r="E11" s="10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428">
        <v>20</v>
      </c>
      <c r="E12" s="10">
        <f>D12*C12</f>
        <v>3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428">
        <v>100</v>
      </c>
      <c r="E13" s="10">
        <f>D13*C13</f>
        <v>14.000000000000002</v>
      </c>
    </row>
    <row r="14" spans="1:5" ht="15.75" x14ac:dyDescent="0.25">
      <c r="A14" s="324"/>
      <c r="B14" s="868" t="s">
        <v>36</v>
      </c>
      <c r="C14" s="868"/>
      <c r="D14" s="868"/>
      <c r="E14" s="377">
        <f>SUM(E9:E13)</f>
        <v>88</v>
      </c>
    </row>
    <row r="15" spans="1:5" ht="15.75" x14ac:dyDescent="0.25">
      <c r="A15" s="11"/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7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15" customHeight="1" x14ac:dyDescent="0.25">
      <c r="A4" s="870" t="s">
        <v>47</v>
      </c>
      <c r="B4" s="870"/>
      <c r="C4" s="870"/>
      <c r="D4" s="870"/>
      <c r="E4" s="870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92.25" customHeight="1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ht="1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15" customHeight="1" x14ac:dyDescent="0.25">
      <c r="A9" s="319" t="s">
        <v>9</v>
      </c>
      <c r="B9" s="319" t="s">
        <v>10</v>
      </c>
      <c r="C9" s="148">
        <v>0.55000000000000004</v>
      </c>
      <c r="D9" s="374">
        <v>100</v>
      </c>
      <c r="E9" s="10">
        <f>D9*C9</f>
        <v>55.000000000000007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100</v>
      </c>
      <c r="E10" s="10">
        <f>D10*C10</f>
        <v>1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428">
        <v>100</v>
      </c>
      <c r="E11" s="10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428">
        <v>20</v>
      </c>
      <c r="E12" s="10">
        <f>D12*C12</f>
        <v>3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428">
        <v>100</v>
      </c>
      <c r="E13" s="10">
        <f>D13*C13</f>
        <v>14.000000000000002</v>
      </c>
    </row>
    <row r="14" spans="1:5" ht="15.75" x14ac:dyDescent="0.25">
      <c r="A14" s="324"/>
      <c r="B14" s="868" t="s">
        <v>36</v>
      </c>
      <c r="C14" s="868"/>
      <c r="D14" s="868"/>
      <c r="E14" s="377">
        <f>SUM(E9:E13)</f>
        <v>88</v>
      </c>
    </row>
    <row r="15" spans="1:5" ht="15.75" x14ac:dyDescent="0.25">
      <c r="A15" s="11"/>
    </row>
    <row r="16" spans="1:5" ht="15.75" x14ac:dyDescent="0.25">
      <c r="A16" s="12"/>
    </row>
    <row r="17" spans="1:1" ht="15.75" x14ac:dyDescent="0.25">
      <c r="A17" s="12"/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7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15.75" x14ac:dyDescent="0.25">
      <c r="A4" s="871" t="s">
        <v>1302</v>
      </c>
      <c r="B4" s="871"/>
      <c r="C4" s="871"/>
      <c r="D4" s="871"/>
      <c r="E4" s="871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15" customHeight="1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ht="1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15" customHeight="1" x14ac:dyDescent="0.25">
      <c r="A9" s="319" t="s">
        <v>9</v>
      </c>
      <c r="B9" s="319" t="s">
        <v>10</v>
      </c>
      <c r="C9" s="148">
        <v>0.55000000000000004</v>
      </c>
      <c r="D9" s="374">
        <v>100</v>
      </c>
      <c r="E9" s="10">
        <f>D9*C9</f>
        <v>55.000000000000007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100</v>
      </c>
      <c r="E10" s="10">
        <f>D10*C10</f>
        <v>1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428">
        <v>100</v>
      </c>
      <c r="E11" s="10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428">
        <v>20</v>
      </c>
      <c r="E12" s="10">
        <f>D12*C12</f>
        <v>3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428">
        <v>50</v>
      </c>
      <c r="E13" s="10">
        <f>D13*C13</f>
        <v>7.0000000000000009</v>
      </c>
    </row>
    <row r="14" spans="1:5" ht="15.75" x14ac:dyDescent="0.25">
      <c r="A14" s="324"/>
      <c r="B14" s="868" t="s">
        <v>36</v>
      </c>
      <c r="C14" s="868"/>
      <c r="D14" s="868"/>
      <c r="E14" s="377">
        <f>SUM(E9:E13)</f>
        <v>81</v>
      </c>
    </row>
    <row r="15" spans="1:5" ht="15.75" x14ac:dyDescent="0.25">
      <c r="A15" s="11"/>
    </row>
    <row r="16" spans="1:5" ht="15.75" x14ac:dyDescent="0.25">
      <c r="A16" s="12"/>
    </row>
    <row r="17" spans="1:1" ht="15.75" x14ac:dyDescent="0.25">
      <c r="A17" s="12"/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5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30" customHeight="1" x14ac:dyDescent="0.25">
      <c r="A4" s="870" t="s">
        <v>1288</v>
      </c>
      <c r="B4" s="870"/>
      <c r="C4" s="870"/>
      <c r="D4" s="870"/>
      <c r="E4" s="870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63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ht="1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15" customHeight="1" x14ac:dyDescent="0.25">
      <c r="A9" s="319" t="s">
        <v>9</v>
      </c>
      <c r="B9" s="319" t="s">
        <v>10</v>
      </c>
      <c r="C9" s="148">
        <v>0.55000000000000004</v>
      </c>
      <c r="D9" s="374">
        <v>80</v>
      </c>
      <c r="E9" s="10">
        <f>D9*C9</f>
        <v>44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100</v>
      </c>
      <c r="E10" s="10">
        <f>D10*C10</f>
        <v>1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428">
        <v>100</v>
      </c>
      <c r="E11" s="10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428">
        <v>20</v>
      </c>
      <c r="E12" s="10">
        <f>D12*C12</f>
        <v>3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428">
        <v>100</v>
      </c>
      <c r="E13" s="10">
        <f>D13*C13</f>
        <v>14.000000000000002</v>
      </c>
    </row>
    <row r="14" spans="1:5" ht="15.75" x14ac:dyDescent="0.25">
      <c r="A14" s="324"/>
      <c r="B14" s="868" t="s">
        <v>36</v>
      </c>
      <c r="C14" s="868"/>
      <c r="D14" s="868"/>
      <c r="E14" s="377">
        <f>SUM(E9:E13)</f>
        <v>77</v>
      </c>
    </row>
    <row r="15" spans="1:5" ht="15.75" x14ac:dyDescent="0.25">
      <c r="A15" s="11"/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5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15.75" x14ac:dyDescent="0.25">
      <c r="A4" s="871" t="s">
        <v>1378</v>
      </c>
      <c r="B4" s="871"/>
      <c r="C4" s="871"/>
      <c r="D4" s="871"/>
      <c r="E4" s="871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92.25" customHeight="1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63.75" x14ac:dyDescent="0.25">
      <c r="A9" s="319" t="s">
        <v>9</v>
      </c>
      <c r="B9" s="319" t="s">
        <v>10</v>
      </c>
      <c r="C9" s="148">
        <v>0.55000000000000004</v>
      </c>
      <c r="D9" s="374">
        <v>80</v>
      </c>
      <c r="E9" s="374">
        <f>D9*C9</f>
        <v>44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100</v>
      </c>
      <c r="E10" s="374">
        <f>D10*C10</f>
        <v>1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428">
        <v>100</v>
      </c>
      <c r="E11" s="374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428">
        <v>100</v>
      </c>
      <c r="E12" s="374">
        <f>D12*C12</f>
        <v>15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428">
        <v>100</v>
      </c>
      <c r="E13" s="374">
        <f>D13*C13</f>
        <v>14.000000000000002</v>
      </c>
    </row>
    <row r="14" spans="1:5" ht="15.75" x14ac:dyDescent="0.25">
      <c r="A14" s="324"/>
      <c r="B14" s="868" t="s">
        <v>36</v>
      </c>
      <c r="C14" s="868"/>
      <c r="D14" s="868"/>
      <c r="E14" s="377">
        <f>SUM(E9:E13)</f>
        <v>89</v>
      </c>
    </row>
    <row r="15" spans="1:5" ht="15.75" x14ac:dyDescent="0.25">
      <c r="A15" s="11"/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5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  <col min="7" max="7" width="42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14.25" customHeight="1" x14ac:dyDescent="0.25">
      <c r="A4" s="870" t="s">
        <v>49</v>
      </c>
      <c r="B4" s="870"/>
      <c r="C4" s="870"/>
      <c r="D4" s="870"/>
      <c r="E4" s="870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63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63.75" x14ac:dyDescent="0.25">
      <c r="A9" s="319" t="s">
        <v>9</v>
      </c>
      <c r="B9" s="319" t="s">
        <v>10</v>
      </c>
      <c r="C9" s="148">
        <v>0.55000000000000004</v>
      </c>
      <c r="D9" s="374">
        <v>100</v>
      </c>
      <c r="E9" s="10">
        <f>D9*C9</f>
        <v>55.000000000000007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100</v>
      </c>
      <c r="E10" s="10">
        <f>D10*C10</f>
        <v>1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428">
        <v>100</v>
      </c>
      <c r="E11" s="10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428">
        <v>20</v>
      </c>
      <c r="E12" s="10">
        <f>D12*C12</f>
        <v>3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428">
        <v>50</v>
      </c>
      <c r="E13" s="10">
        <f>D13*C13</f>
        <v>7.0000000000000009</v>
      </c>
    </row>
    <row r="14" spans="1:5" ht="15.75" x14ac:dyDescent="0.25">
      <c r="A14" s="324"/>
      <c r="B14" s="868" t="s">
        <v>36</v>
      </c>
      <c r="C14" s="868"/>
      <c r="D14" s="868"/>
      <c r="E14" s="377">
        <f>SUM(E9:E13)</f>
        <v>81</v>
      </c>
    </row>
    <row r="15" spans="1:5" ht="15.75" x14ac:dyDescent="0.25">
      <c r="A15" s="11"/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7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30" customHeight="1" x14ac:dyDescent="0.25">
      <c r="A4" s="870" t="s">
        <v>1293</v>
      </c>
      <c r="B4" s="870"/>
      <c r="C4" s="870"/>
      <c r="D4" s="870"/>
      <c r="E4" s="870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92.25" customHeight="1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63.75" x14ac:dyDescent="0.25">
      <c r="A9" s="319" t="s">
        <v>9</v>
      </c>
      <c r="B9" s="319" t="s">
        <v>10</v>
      </c>
      <c r="C9" s="148">
        <v>0.55000000000000004</v>
      </c>
      <c r="D9" s="374">
        <v>100</v>
      </c>
      <c r="E9" s="374">
        <f>D9*C9</f>
        <v>55.000000000000007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100</v>
      </c>
      <c r="E10" s="374">
        <f>D10*C10</f>
        <v>1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428">
        <v>100</v>
      </c>
      <c r="E11" s="374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428">
        <v>50</v>
      </c>
      <c r="E12" s="374">
        <f>D12*C12</f>
        <v>7.5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428">
        <v>50</v>
      </c>
      <c r="E13" s="374">
        <f>D13*C13</f>
        <v>7.0000000000000009</v>
      </c>
    </row>
    <row r="14" spans="1:5" ht="15.75" x14ac:dyDescent="0.25">
      <c r="A14" s="324"/>
      <c r="B14" s="868" t="s">
        <v>36</v>
      </c>
      <c r="C14" s="868"/>
      <c r="D14" s="868"/>
      <c r="E14" s="377">
        <f>SUM(E9:E13)</f>
        <v>85.5</v>
      </c>
    </row>
    <row r="15" spans="1:5" ht="15.75" x14ac:dyDescent="0.25">
      <c r="A15" s="11"/>
    </row>
    <row r="16" spans="1:5" ht="15.75" x14ac:dyDescent="0.25">
      <c r="A16" s="12"/>
    </row>
    <row r="17" spans="1:1" ht="15.75" x14ac:dyDescent="0.25">
      <c r="A17" s="12"/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5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15.75" x14ac:dyDescent="0.25">
      <c r="A4" s="871" t="s">
        <v>1296</v>
      </c>
      <c r="B4" s="871"/>
      <c r="C4" s="871"/>
      <c r="D4" s="871"/>
      <c r="E4" s="871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63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63.75" x14ac:dyDescent="0.25">
      <c r="A9" s="319" t="s">
        <v>9</v>
      </c>
      <c r="B9" s="319" t="s">
        <v>10</v>
      </c>
      <c r="C9" s="148">
        <v>0.55000000000000004</v>
      </c>
      <c r="D9" s="374">
        <v>100</v>
      </c>
      <c r="E9" s="10">
        <f>D9*C9</f>
        <v>55.000000000000007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100</v>
      </c>
      <c r="E10" s="10">
        <f>D10*C10</f>
        <v>1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376">
        <v>100</v>
      </c>
      <c r="E11" s="10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376">
        <v>100</v>
      </c>
      <c r="E12" s="10">
        <f>D12*C12</f>
        <v>15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376">
        <v>50</v>
      </c>
      <c r="E13" s="10">
        <f>D13*C13</f>
        <v>7.0000000000000009</v>
      </c>
    </row>
    <row r="14" spans="1:5" ht="19.5" customHeight="1" x14ac:dyDescent="0.25">
      <c r="A14" s="324"/>
      <c r="B14" s="868" t="s">
        <v>36</v>
      </c>
      <c r="C14" s="868"/>
      <c r="D14" s="868"/>
      <c r="E14" s="377">
        <f>SUM(E9:E13)</f>
        <v>93</v>
      </c>
    </row>
    <row r="15" spans="1:5" ht="15.75" x14ac:dyDescent="0.25">
      <c r="A15" s="12"/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topLeftCell="A10" zoomScale="80" zoomScaleNormal="100" zoomScaleSheetLayoutView="80" workbookViewId="0">
      <selection activeCell="D26" sqref="D26"/>
    </sheetView>
  </sheetViews>
  <sheetFormatPr defaultRowHeight="12.75" x14ac:dyDescent="0.2"/>
  <cols>
    <col min="1" max="1" width="9.140625" style="1"/>
    <col min="2" max="2" width="36" style="1" customWidth="1"/>
    <col min="3" max="3" width="9.140625" style="1"/>
    <col min="4" max="4" width="31.28515625" style="1" customWidth="1"/>
    <col min="5" max="5" width="10" style="1" customWidth="1"/>
    <col min="6" max="16384" width="9.140625" style="1"/>
  </cols>
  <sheetData>
    <row r="1" spans="1:6" x14ac:dyDescent="0.2">
      <c r="A1" s="755" t="s">
        <v>0</v>
      </c>
      <c r="B1" s="756"/>
      <c r="C1" s="756"/>
      <c r="D1" s="756"/>
      <c r="E1" s="756"/>
      <c r="F1" s="756"/>
    </row>
    <row r="2" spans="1:6" x14ac:dyDescent="0.2">
      <c r="A2" s="755" t="s">
        <v>39</v>
      </c>
      <c r="B2" s="756"/>
      <c r="C2" s="756"/>
      <c r="D2" s="756"/>
      <c r="E2" s="756"/>
      <c r="F2" s="756"/>
    </row>
    <row r="3" spans="1:6" x14ac:dyDescent="0.2">
      <c r="A3" s="2"/>
    </row>
    <row r="4" spans="1:6" x14ac:dyDescent="0.2">
      <c r="A4" s="745" t="s">
        <v>1</v>
      </c>
      <c r="B4" s="745" t="s">
        <v>2</v>
      </c>
      <c r="C4" s="745"/>
      <c r="D4" s="748" t="s">
        <v>3</v>
      </c>
      <c r="E4" s="748" t="s">
        <v>4</v>
      </c>
      <c r="F4" s="751" t="s">
        <v>40</v>
      </c>
    </row>
    <row r="5" spans="1:6" ht="51" x14ac:dyDescent="0.2">
      <c r="A5" s="745"/>
      <c r="B5" s="3" t="s">
        <v>5</v>
      </c>
      <c r="C5" s="3" t="s">
        <v>6</v>
      </c>
      <c r="D5" s="749"/>
      <c r="E5" s="749"/>
      <c r="F5" s="757"/>
    </row>
    <row r="6" spans="1:6" ht="14.25" x14ac:dyDescent="0.25">
      <c r="A6" s="745"/>
      <c r="B6" s="3" t="s">
        <v>7</v>
      </c>
      <c r="C6" s="3" t="s">
        <v>8</v>
      </c>
      <c r="D6" s="750"/>
      <c r="E6" s="750"/>
      <c r="F6" s="758"/>
    </row>
    <row r="7" spans="1:6" s="146" customFormat="1" ht="69" customHeight="1" x14ac:dyDescent="0.2">
      <c r="A7" s="743" t="s">
        <v>9</v>
      </c>
      <c r="B7" s="743" t="s">
        <v>10</v>
      </c>
      <c r="C7" s="744">
        <v>0.55000000000000004</v>
      </c>
      <c r="D7" s="143" t="s">
        <v>11</v>
      </c>
      <c r="E7" s="144">
        <v>100</v>
      </c>
      <c r="F7" s="145">
        <v>100</v>
      </c>
    </row>
    <row r="8" spans="1:6" s="146" customFormat="1" ht="43.5" customHeight="1" x14ac:dyDescent="0.2">
      <c r="A8" s="743"/>
      <c r="B8" s="743"/>
      <c r="C8" s="744"/>
      <c r="D8" s="143" t="s">
        <v>12</v>
      </c>
      <c r="E8" s="144">
        <v>80</v>
      </c>
      <c r="F8" s="145"/>
    </row>
    <row r="9" spans="1:6" s="146" customFormat="1" ht="46.5" customHeight="1" x14ac:dyDescent="0.2">
      <c r="A9" s="743"/>
      <c r="B9" s="743"/>
      <c r="C9" s="744"/>
      <c r="D9" s="143" t="s">
        <v>13</v>
      </c>
      <c r="E9" s="144">
        <v>50</v>
      </c>
      <c r="F9" s="145"/>
    </row>
    <row r="10" spans="1:6" s="146" customFormat="1" ht="40.5" customHeight="1" x14ac:dyDescent="0.2">
      <c r="A10" s="743"/>
      <c r="B10" s="743"/>
      <c r="C10" s="744"/>
      <c r="D10" s="143" t="s">
        <v>14</v>
      </c>
      <c r="E10" s="144">
        <v>20</v>
      </c>
      <c r="F10" s="147"/>
    </row>
    <row r="11" spans="1:6" ht="39.75" customHeight="1" x14ac:dyDescent="0.2">
      <c r="A11" s="747" t="s">
        <v>15</v>
      </c>
      <c r="B11" s="747" t="s">
        <v>26</v>
      </c>
      <c r="C11" s="742">
        <v>0.1</v>
      </c>
      <c r="D11" s="5" t="s">
        <v>16</v>
      </c>
      <c r="E11" s="6">
        <v>100</v>
      </c>
      <c r="F11" s="7">
        <v>100</v>
      </c>
    </row>
    <row r="12" spans="1:6" ht="33.75" customHeight="1" x14ac:dyDescent="0.2">
      <c r="A12" s="747"/>
      <c r="B12" s="747"/>
      <c r="C12" s="742"/>
      <c r="D12" s="5" t="s">
        <v>17</v>
      </c>
      <c r="E12" s="6">
        <v>50</v>
      </c>
      <c r="F12" s="7"/>
    </row>
    <row r="13" spans="1:6" ht="33.75" customHeight="1" x14ac:dyDescent="0.2">
      <c r="A13" s="747"/>
      <c r="B13" s="747"/>
      <c r="C13" s="742"/>
      <c r="D13" s="5" t="s">
        <v>18</v>
      </c>
      <c r="E13" s="6">
        <v>20</v>
      </c>
      <c r="F13" s="7"/>
    </row>
    <row r="14" spans="1:6" s="146" customFormat="1" ht="32.25" customHeight="1" x14ac:dyDescent="0.2">
      <c r="A14" s="743" t="s">
        <v>19</v>
      </c>
      <c r="B14" s="743" t="s">
        <v>27</v>
      </c>
      <c r="C14" s="744">
        <v>0.1</v>
      </c>
      <c r="D14" s="143" t="s">
        <v>16</v>
      </c>
      <c r="E14" s="144">
        <v>100</v>
      </c>
      <c r="F14" s="145">
        <v>100</v>
      </c>
    </row>
    <row r="15" spans="1:6" s="146" customFormat="1" ht="29.25" customHeight="1" x14ac:dyDescent="0.2">
      <c r="A15" s="743"/>
      <c r="B15" s="743"/>
      <c r="C15" s="744"/>
      <c r="D15" s="143" t="s">
        <v>17</v>
      </c>
      <c r="E15" s="144">
        <v>50</v>
      </c>
      <c r="F15" s="145"/>
    </row>
    <row r="16" spans="1:6" s="146" customFormat="1" ht="29.25" customHeight="1" x14ac:dyDescent="0.2">
      <c r="A16" s="743"/>
      <c r="B16" s="743"/>
      <c r="C16" s="744"/>
      <c r="D16" s="143" t="s">
        <v>18</v>
      </c>
      <c r="E16" s="144">
        <v>20</v>
      </c>
      <c r="F16" s="145"/>
    </row>
    <row r="17" spans="1:6" ht="17.25" customHeight="1" x14ac:dyDescent="0.2">
      <c r="A17" s="747" t="s">
        <v>20</v>
      </c>
      <c r="B17" s="747" t="s">
        <v>21</v>
      </c>
      <c r="C17" s="742"/>
      <c r="D17" s="5" t="s">
        <v>22</v>
      </c>
      <c r="E17" s="6">
        <v>100</v>
      </c>
      <c r="F17" s="7"/>
    </row>
    <row r="18" spans="1:6" ht="16.5" customHeight="1" x14ac:dyDescent="0.2">
      <c r="A18" s="747"/>
      <c r="B18" s="747"/>
      <c r="C18" s="742"/>
      <c r="D18" s="5" t="s">
        <v>23</v>
      </c>
      <c r="E18" s="6">
        <v>50</v>
      </c>
      <c r="F18" s="7"/>
    </row>
    <row r="19" spans="1:6" ht="22.5" customHeight="1" x14ac:dyDescent="0.2">
      <c r="A19" s="747"/>
      <c r="B19" s="747"/>
      <c r="C19" s="742"/>
      <c r="D19" s="5" t="s">
        <v>24</v>
      </c>
      <c r="E19" s="6">
        <v>20</v>
      </c>
      <c r="F19" s="7"/>
    </row>
    <row r="20" spans="1:6" s="146" customFormat="1" ht="19.5" customHeight="1" x14ac:dyDescent="0.2">
      <c r="A20" s="743" t="s">
        <v>25</v>
      </c>
      <c r="B20" s="743" t="s">
        <v>28</v>
      </c>
      <c r="C20" s="744">
        <v>0.25</v>
      </c>
      <c r="D20" s="143" t="s">
        <v>29</v>
      </c>
      <c r="E20" s="144">
        <v>100</v>
      </c>
      <c r="F20" s="145"/>
    </row>
    <row r="21" spans="1:6" s="146" customFormat="1" ht="29.25" customHeight="1" x14ac:dyDescent="0.2">
      <c r="A21" s="743"/>
      <c r="B21" s="743"/>
      <c r="C21" s="744"/>
      <c r="D21" s="143" t="s">
        <v>30</v>
      </c>
      <c r="E21" s="144">
        <v>50</v>
      </c>
      <c r="F21" s="148"/>
    </row>
  </sheetData>
  <mergeCells count="22">
    <mergeCell ref="A1:F1"/>
    <mergeCell ref="A2:F2"/>
    <mergeCell ref="A4:A6"/>
    <mergeCell ref="B4:C4"/>
    <mergeCell ref="D4:D6"/>
    <mergeCell ref="E4:E6"/>
    <mergeCell ref="F4:F6"/>
    <mergeCell ref="A7:A10"/>
    <mergeCell ref="B7:B10"/>
    <mergeCell ref="C7:C10"/>
    <mergeCell ref="A11:A13"/>
    <mergeCell ref="B11:B13"/>
    <mergeCell ref="C11:C13"/>
    <mergeCell ref="A20:A21"/>
    <mergeCell ref="B20:B21"/>
    <mergeCell ref="C20:C21"/>
    <mergeCell ref="A14:A16"/>
    <mergeCell ref="B14:B16"/>
    <mergeCell ref="C14:C16"/>
    <mergeCell ref="A17:A19"/>
    <mergeCell ref="B17:B19"/>
    <mergeCell ref="C17:C19"/>
  </mergeCells>
  <pageMargins left="0.7" right="0.7" top="0.75" bottom="0.75" header="0.3" footer="0.3"/>
  <pageSetup paperSize="9" scale="8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5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15.75" x14ac:dyDescent="0.25">
      <c r="A4" s="871" t="s">
        <v>463</v>
      </c>
      <c r="B4" s="871"/>
      <c r="C4" s="871"/>
      <c r="D4" s="871"/>
      <c r="E4" s="871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63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63.75" x14ac:dyDescent="0.25">
      <c r="A9" s="319" t="s">
        <v>9</v>
      </c>
      <c r="B9" s="319" t="s">
        <v>10</v>
      </c>
      <c r="C9" s="148">
        <v>0.55000000000000004</v>
      </c>
      <c r="D9" s="374">
        <v>100</v>
      </c>
      <c r="E9" s="10">
        <f>D9*C9</f>
        <v>55.000000000000007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100</v>
      </c>
      <c r="E10" s="10">
        <f>D10*C10</f>
        <v>1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376">
        <v>100</v>
      </c>
      <c r="E11" s="10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376">
        <v>20</v>
      </c>
      <c r="E12" s="10">
        <f>D12*C12</f>
        <v>3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376">
        <v>50</v>
      </c>
      <c r="E13" s="10">
        <f>D13*C13</f>
        <v>7.0000000000000009</v>
      </c>
    </row>
    <row r="14" spans="1:5" ht="15.75" x14ac:dyDescent="0.25">
      <c r="A14" s="324"/>
      <c r="B14" s="868" t="s">
        <v>36</v>
      </c>
      <c r="C14" s="868"/>
      <c r="D14" s="868"/>
      <c r="E14" s="377">
        <f>SUM(E9:E13)</f>
        <v>81</v>
      </c>
    </row>
    <row r="15" spans="1:5" ht="15.75" x14ac:dyDescent="0.25">
      <c r="A15" s="32"/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6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15" customHeight="1" x14ac:dyDescent="0.25">
      <c r="A4" s="870" t="s">
        <v>1298</v>
      </c>
      <c r="B4" s="870"/>
      <c r="C4" s="870"/>
      <c r="D4" s="870"/>
      <c r="E4" s="870"/>
    </row>
    <row r="5" spans="1:5" ht="15.75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92.25" customHeight="1" x14ac:dyDescent="0.25">
      <c r="A7" s="872" t="s">
        <v>1</v>
      </c>
      <c r="B7" s="872" t="s">
        <v>34</v>
      </c>
      <c r="C7" s="873" t="s">
        <v>37</v>
      </c>
      <c r="D7" s="872" t="s">
        <v>35</v>
      </c>
      <c r="E7" s="873" t="s">
        <v>38</v>
      </c>
    </row>
    <row r="8" spans="1:5" ht="1.5" customHeight="1" x14ac:dyDescent="0.25">
      <c r="A8" s="872"/>
      <c r="B8" s="872"/>
      <c r="C8" s="874"/>
      <c r="D8" s="872"/>
      <c r="E8" s="876"/>
    </row>
    <row r="9" spans="1:5" hidden="1" x14ac:dyDescent="0.25">
      <c r="A9" s="872"/>
      <c r="B9" s="872"/>
      <c r="C9" s="875"/>
      <c r="D9" s="872"/>
      <c r="E9" s="877"/>
    </row>
    <row r="10" spans="1:5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</row>
    <row r="11" spans="1:5" ht="63.75" x14ac:dyDescent="0.25">
      <c r="A11" s="312" t="s">
        <v>9</v>
      </c>
      <c r="B11" s="312" t="s">
        <v>10</v>
      </c>
      <c r="C11" s="148">
        <v>0.55000000000000004</v>
      </c>
      <c r="D11" s="374">
        <v>100</v>
      </c>
      <c r="E11" s="10">
        <f>D11*C11</f>
        <v>55.000000000000007</v>
      </c>
    </row>
    <row r="12" spans="1:5" ht="42.75" customHeight="1" x14ac:dyDescent="0.25">
      <c r="A12" s="314" t="s">
        <v>15</v>
      </c>
      <c r="B12" s="314" t="s">
        <v>26</v>
      </c>
      <c r="C12" s="375">
        <v>0.01</v>
      </c>
      <c r="D12" s="374">
        <v>100</v>
      </c>
      <c r="E12" s="10">
        <f>D12*C12</f>
        <v>1</v>
      </c>
    </row>
    <row r="13" spans="1:5" ht="29.25" customHeight="1" x14ac:dyDescent="0.25">
      <c r="A13" s="312" t="s">
        <v>19</v>
      </c>
      <c r="B13" s="312" t="s">
        <v>27</v>
      </c>
      <c r="C13" s="148">
        <v>0.15</v>
      </c>
      <c r="D13" s="376">
        <v>100</v>
      </c>
      <c r="E13" s="10">
        <f>D13*C13</f>
        <v>15</v>
      </c>
    </row>
    <row r="14" spans="1:5" ht="39.75" customHeight="1" x14ac:dyDescent="0.25">
      <c r="A14" s="314" t="s">
        <v>20</v>
      </c>
      <c r="B14" s="314" t="s">
        <v>21</v>
      </c>
      <c r="C14" s="375">
        <v>0.15</v>
      </c>
      <c r="D14" s="376">
        <v>50</v>
      </c>
      <c r="E14" s="10">
        <f>D14*C14</f>
        <v>7.5</v>
      </c>
    </row>
    <row r="15" spans="1:5" ht="42.75" customHeight="1" x14ac:dyDescent="0.25">
      <c r="A15" s="312" t="s">
        <v>25</v>
      </c>
      <c r="B15" s="312" t="s">
        <v>28</v>
      </c>
      <c r="C15" s="148">
        <v>0.14000000000000001</v>
      </c>
      <c r="D15" s="376">
        <v>50</v>
      </c>
      <c r="E15" s="10">
        <f>D15*C15</f>
        <v>7.0000000000000009</v>
      </c>
    </row>
    <row r="16" spans="1:5" ht="21.75" customHeight="1" x14ac:dyDescent="0.25">
      <c r="A16" s="16"/>
      <c r="B16" s="868" t="s">
        <v>36</v>
      </c>
      <c r="C16" s="868"/>
      <c r="D16" s="868"/>
      <c r="E16" s="377">
        <f>SUM(E11:E15)</f>
        <v>85.5</v>
      </c>
    </row>
  </sheetData>
  <mergeCells count="11">
    <mergeCell ref="B16:D16"/>
    <mergeCell ref="A1:E1"/>
    <mergeCell ref="A2:E2"/>
    <mergeCell ref="A3:E3"/>
    <mergeCell ref="A4:E4"/>
    <mergeCell ref="A5:E5"/>
    <mergeCell ref="A7:A9"/>
    <mergeCell ref="B7:B9"/>
    <mergeCell ref="C7:C9"/>
    <mergeCell ref="D7:D9"/>
    <mergeCell ref="E7:E9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4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14.25" customHeight="1" x14ac:dyDescent="0.25">
      <c r="A4" s="870" t="s">
        <v>1326</v>
      </c>
      <c r="B4" s="870"/>
      <c r="C4" s="870"/>
      <c r="D4" s="870"/>
      <c r="E4" s="870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s="437" customFormat="1" ht="63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63.75" x14ac:dyDescent="0.25">
      <c r="A9" s="319" t="s">
        <v>9</v>
      </c>
      <c r="B9" s="319" t="s">
        <v>10</v>
      </c>
      <c r="C9" s="148">
        <v>0.55000000000000004</v>
      </c>
      <c r="D9" s="374">
        <v>80</v>
      </c>
      <c r="E9" s="10">
        <f>D9*C9</f>
        <v>44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100</v>
      </c>
      <c r="E10" s="10">
        <f>D10*C10</f>
        <v>1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428">
        <v>100</v>
      </c>
      <c r="E11" s="10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428">
        <v>20</v>
      </c>
      <c r="E12" s="10">
        <f>D12*C12</f>
        <v>3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428">
        <v>50</v>
      </c>
      <c r="E13" s="10">
        <f>D13*C13</f>
        <v>7.0000000000000009</v>
      </c>
    </row>
    <row r="14" spans="1:5" ht="15.75" x14ac:dyDescent="0.25">
      <c r="A14" s="324"/>
      <c r="B14" s="868" t="s">
        <v>36</v>
      </c>
      <c r="C14" s="868"/>
      <c r="D14" s="868"/>
      <c r="E14" s="377">
        <f>SUM(E9:E13)</f>
        <v>70</v>
      </c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4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15" customHeight="1" x14ac:dyDescent="0.25">
      <c r="A4" s="870" t="s">
        <v>1321</v>
      </c>
      <c r="B4" s="870"/>
      <c r="C4" s="870"/>
      <c r="D4" s="870"/>
      <c r="E4" s="870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63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63.75" x14ac:dyDescent="0.25">
      <c r="A9" s="319" t="s">
        <v>9</v>
      </c>
      <c r="B9" s="319" t="s">
        <v>10</v>
      </c>
      <c r="C9" s="148">
        <v>0.55000000000000004</v>
      </c>
      <c r="D9" s="374">
        <v>100</v>
      </c>
      <c r="E9" s="10">
        <f>D9*C9</f>
        <v>55.000000000000007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100</v>
      </c>
      <c r="E10" s="10">
        <f>D10*C10</f>
        <v>1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428">
        <v>100</v>
      </c>
      <c r="E11" s="10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428">
        <v>20</v>
      </c>
      <c r="E12" s="10">
        <f>D12*C12</f>
        <v>3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428">
        <v>50</v>
      </c>
      <c r="E13" s="10">
        <f>D13*C13</f>
        <v>7.0000000000000009</v>
      </c>
    </row>
    <row r="14" spans="1:5" ht="15.75" x14ac:dyDescent="0.25">
      <c r="A14" s="324"/>
      <c r="B14" s="868" t="s">
        <v>36</v>
      </c>
      <c r="C14" s="868"/>
      <c r="D14" s="868"/>
      <c r="E14" s="377">
        <f>SUM(E9:E13)</f>
        <v>81</v>
      </c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5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16.5" customHeight="1" x14ac:dyDescent="0.25">
      <c r="A4" s="870" t="s">
        <v>1386</v>
      </c>
      <c r="B4" s="870"/>
      <c r="C4" s="870"/>
      <c r="D4" s="870"/>
      <c r="E4" s="870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92.25" customHeight="1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ht="1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15" customHeight="1" x14ac:dyDescent="0.25">
      <c r="A9" s="319" t="s">
        <v>9</v>
      </c>
      <c r="B9" s="319" t="s">
        <v>10</v>
      </c>
      <c r="C9" s="148">
        <v>0.55000000000000004</v>
      </c>
      <c r="D9" s="374">
        <v>100</v>
      </c>
      <c r="E9" s="10">
        <f>D9*C9</f>
        <v>55.000000000000007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100</v>
      </c>
      <c r="E10" s="10">
        <f>D10*C10</f>
        <v>1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428">
        <v>100</v>
      </c>
      <c r="E11" s="10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428">
        <v>20</v>
      </c>
      <c r="E12" s="10">
        <f>D12*C12</f>
        <v>3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428">
        <v>100</v>
      </c>
      <c r="E13" s="10">
        <f>D13*C13</f>
        <v>14.000000000000002</v>
      </c>
    </row>
    <row r="14" spans="1:5" ht="15.75" x14ac:dyDescent="0.25">
      <c r="A14" s="324"/>
      <c r="B14" s="868" t="s">
        <v>36</v>
      </c>
      <c r="C14" s="868"/>
      <c r="D14" s="868"/>
      <c r="E14" s="377">
        <f>SUM(E9:E13)</f>
        <v>88</v>
      </c>
    </row>
    <row r="15" spans="1:5" ht="15.75" x14ac:dyDescent="0.25">
      <c r="A15" s="11"/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E15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13.5" customHeight="1" x14ac:dyDescent="0.25">
      <c r="A4" s="870" t="s">
        <v>1393</v>
      </c>
      <c r="B4" s="870"/>
      <c r="C4" s="870"/>
      <c r="D4" s="870"/>
      <c r="E4" s="870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63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63.75" x14ac:dyDescent="0.25">
      <c r="A9" s="319" t="s">
        <v>9</v>
      </c>
      <c r="B9" s="319" t="s">
        <v>10</v>
      </c>
      <c r="C9" s="148">
        <v>0.55000000000000004</v>
      </c>
      <c r="D9" s="374">
        <v>80</v>
      </c>
      <c r="E9" s="10">
        <f>D9*C9</f>
        <v>44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100</v>
      </c>
      <c r="E10" s="10">
        <f>D10*C10</f>
        <v>1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428">
        <v>100</v>
      </c>
      <c r="E11" s="10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428">
        <v>100</v>
      </c>
      <c r="E12" s="10">
        <f>D12*C12</f>
        <v>15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428">
        <v>50</v>
      </c>
      <c r="E13" s="10">
        <f>D13*C13</f>
        <v>7.0000000000000009</v>
      </c>
    </row>
    <row r="14" spans="1:5" ht="15.75" x14ac:dyDescent="0.25">
      <c r="A14" s="324"/>
      <c r="B14" s="868" t="s">
        <v>36</v>
      </c>
      <c r="C14" s="868"/>
      <c r="D14" s="868"/>
      <c r="E14" s="377">
        <f>SUM(E9:E13)</f>
        <v>82</v>
      </c>
    </row>
    <row r="15" spans="1:5" ht="15.75" x14ac:dyDescent="0.25">
      <c r="A15" s="11"/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5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16.5" customHeight="1" x14ac:dyDescent="0.25">
      <c r="A4" s="870" t="s">
        <v>1383</v>
      </c>
      <c r="B4" s="870"/>
      <c r="C4" s="870"/>
      <c r="D4" s="870"/>
      <c r="E4" s="870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92.25" customHeight="1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ht="1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15" customHeight="1" x14ac:dyDescent="0.25">
      <c r="A9" s="319" t="s">
        <v>9</v>
      </c>
      <c r="B9" s="319" t="s">
        <v>10</v>
      </c>
      <c r="C9" s="148">
        <v>0.55000000000000004</v>
      </c>
      <c r="D9" s="374">
        <v>100</v>
      </c>
      <c r="E9" s="10">
        <f>D9*C9</f>
        <v>55.000000000000007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100</v>
      </c>
      <c r="E10" s="10">
        <f>D10*C10</f>
        <v>1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428">
        <v>100</v>
      </c>
      <c r="E11" s="10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428">
        <v>20</v>
      </c>
      <c r="E12" s="10">
        <f>D12*C12</f>
        <v>3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428">
        <v>100</v>
      </c>
      <c r="E13" s="10">
        <f>D13*C13</f>
        <v>14.000000000000002</v>
      </c>
    </row>
    <row r="14" spans="1:5" ht="15.75" x14ac:dyDescent="0.25">
      <c r="A14" s="324"/>
      <c r="B14" s="868" t="s">
        <v>36</v>
      </c>
      <c r="C14" s="868"/>
      <c r="D14" s="868"/>
      <c r="E14" s="377">
        <f>SUM(E9:E13)</f>
        <v>88</v>
      </c>
    </row>
    <row r="15" spans="1:5" ht="51" customHeight="1" x14ac:dyDescent="0.25">
      <c r="A15" s="11"/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7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30" customHeight="1" x14ac:dyDescent="0.25">
      <c r="A4" s="870" t="s">
        <v>48</v>
      </c>
      <c r="B4" s="870"/>
      <c r="C4" s="870"/>
      <c r="D4" s="870"/>
      <c r="E4" s="870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63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63.75" x14ac:dyDescent="0.25">
      <c r="A9" s="319" t="s">
        <v>9</v>
      </c>
      <c r="B9" s="319" t="s">
        <v>10</v>
      </c>
      <c r="C9" s="148">
        <v>0.55000000000000004</v>
      </c>
      <c r="D9" s="374">
        <v>80</v>
      </c>
      <c r="E9" s="374">
        <f>D9*C9</f>
        <v>44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100</v>
      </c>
      <c r="E10" s="374">
        <f>D10*C10</f>
        <v>1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428">
        <v>100</v>
      </c>
      <c r="E11" s="374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428">
        <v>20</v>
      </c>
      <c r="E12" s="374">
        <f>D12*C12</f>
        <v>3</v>
      </c>
    </row>
    <row r="13" spans="1:5" ht="26.25" customHeight="1" x14ac:dyDescent="0.25">
      <c r="A13" s="319" t="s">
        <v>25</v>
      </c>
      <c r="B13" s="319" t="s">
        <v>28</v>
      </c>
      <c r="C13" s="148">
        <v>0.14000000000000001</v>
      </c>
      <c r="D13" s="428">
        <v>100</v>
      </c>
      <c r="E13" s="374">
        <f>D13*C13</f>
        <v>14.000000000000002</v>
      </c>
    </row>
    <row r="14" spans="1:5" ht="15.75" x14ac:dyDescent="0.25">
      <c r="A14" s="324"/>
      <c r="B14" s="868" t="s">
        <v>36</v>
      </c>
      <c r="C14" s="868"/>
      <c r="D14" s="868"/>
      <c r="E14" s="377">
        <f>SUM(E9:E13)</f>
        <v>77</v>
      </c>
    </row>
    <row r="15" spans="1:5" ht="15.75" x14ac:dyDescent="0.25">
      <c r="A15" s="11"/>
    </row>
    <row r="16" spans="1:5" ht="15.75" x14ac:dyDescent="0.25">
      <c r="A16" s="17"/>
    </row>
    <row r="17" spans="1:1" ht="15.75" x14ac:dyDescent="0.25">
      <c r="A17" s="17"/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7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15.75" x14ac:dyDescent="0.25">
      <c r="A4" s="871" t="s">
        <v>1397</v>
      </c>
      <c r="B4" s="871"/>
      <c r="C4" s="871"/>
      <c r="D4" s="871"/>
      <c r="E4" s="871"/>
    </row>
    <row r="5" spans="1:5" ht="15.75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92.25" customHeight="1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63.75" x14ac:dyDescent="0.25">
      <c r="A9" s="319" t="s">
        <v>9</v>
      </c>
      <c r="B9" s="319" t="s">
        <v>10</v>
      </c>
      <c r="C9" s="148">
        <v>0.55000000000000004</v>
      </c>
      <c r="D9" s="374">
        <v>80</v>
      </c>
      <c r="E9" s="10">
        <f>D9*C9</f>
        <v>44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100</v>
      </c>
      <c r="E10" s="10">
        <f>D10*C10</f>
        <v>1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428">
        <v>100</v>
      </c>
      <c r="E11" s="10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428">
        <v>100</v>
      </c>
      <c r="E12" s="10">
        <f>D12*C12</f>
        <v>15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428">
        <v>50</v>
      </c>
      <c r="E13" s="10">
        <f>D13*C13</f>
        <v>7.0000000000000009</v>
      </c>
    </row>
    <row r="14" spans="1:5" ht="15.75" customHeight="1" x14ac:dyDescent="0.25">
      <c r="A14" s="324"/>
      <c r="B14" s="868" t="s">
        <v>36</v>
      </c>
      <c r="C14" s="868"/>
      <c r="D14" s="868"/>
      <c r="E14" s="377">
        <f>SUM(E9:E13)</f>
        <v>82</v>
      </c>
    </row>
    <row r="15" spans="1:5" ht="15.75" x14ac:dyDescent="0.25">
      <c r="A15" s="11"/>
    </row>
    <row r="16" spans="1:5" ht="15.75" x14ac:dyDescent="0.25">
      <c r="A16" s="32"/>
    </row>
    <row r="17" spans="1:1" ht="15.75" x14ac:dyDescent="0.25">
      <c r="A17" s="32"/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7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15.75" x14ac:dyDescent="0.25">
      <c r="A4" s="871" t="s">
        <v>1389</v>
      </c>
      <c r="B4" s="871"/>
      <c r="C4" s="871"/>
      <c r="D4" s="871"/>
      <c r="E4" s="871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92.25" customHeight="1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63.75" x14ac:dyDescent="0.25">
      <c r="A9" s="319" t="s">
        <v>9</v>
      </c>
      <c r="B9" s="319" t="s">
        <v>10</v>
      </c>
      <c r="C9" s="148">
        <v>0.55000000000000004</v>
      </c>
      <c r="D9" s="374">
        <v>80</v>
      </c>
      <c r="E9" s="10">
        <f>D9*C9</f>
        <v>44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100</v>
      </c>
      <c r="E10" s="10">
        <f>D10*C10</f>
        <v>1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428">
        <v>100</v>
      </c>
      <c r="E11" s="10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428">
        <v>100</v>
      </c>
      <c r="E12" s="10">
        <f>D12*C12</f>
        <v>15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428">
        <v>100</v>
      </c>
      <c r="E13" s="10">
        <f>D13*C13</f>
        <v>14.000000000000002</v>
      </c>
    </row>
    <row r="14" spans="1:5" ht="15.75" customHeight="1" x14ac:dyDescent="0.25">
      <c r="A14" s="324"/>
      <c r="B14" s="868" t="s">
        <v>36</v>
      </c>
      <c r="C14" s="868"/>
      <c r="D14" s="868"/>
      <c r="E14" s="377">
        <f>SUM(E9:E13)</f>
        <v>89</v>
      </c>
    </row>
    <row r="15" spans="1:5" ht="15.75" x14ac:dyDescent="0.25">
      <c r="A15" s="11"/>
    </row>
    <row r="16" spans="1:5" ht="15.75" x14ac:dyDescent="0.25">
      <c r="A16" s="31"/>
    </row>
    <row r="17" spans="1:1" ht="15.75" x14ac:dyDescent="0.25">
      <c r="A17" s="31"/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7"/>
  <sheetViews>
    <sheetView tabSelected="1" zoomScale="55" zoomScaleNormal="55" workbookViewId="0">
      <pane xSplit="2" ySplit="4" topLeftCell="C384" activePane="bottomRight" state="frozen"/>
      <selection pane="topRight" activeCell="C1" sqref="C1"/>
      <selection pane="bottomLeft" activeCell="A4" sqref="A4"/>
      <selection pane="bottomRight" activeCell="Z398" sqref="Z398"/>
    </sheetView>
  </sheetViews>
  <sheetFormatPr defaultRowHeight="15.75" outlineLevelCol="1" x14ac:dyDescent="0.25"/>
  <cols>
    <col min="1" max="1" width="3.85546875" style="411" customWidth="1"/>
    <col min="2" max="2" width="34.5703125" style="411" customWidth="1"/>
    <col min="3" max="3" width="15.140625" style="411" customWidth="1" outlineLevel="1"/>
    <col min="4" max="4" width="13.7109375" style="411" bestFit="1" customWidth="1" outlineLevel="1"/>
    <col min="5" max="5" width="13.140625" style="411" bestFit="1" customWidth="1" outlineLevel="1"/>
    <col min="6" max="6" width="13.42578125" style="411" bestFit="1" customWidth="1" outlineLevel="1"/>
    <col min="7" max="7" width="11.28515625" style="411" customWidth="1" outlineLevel="1"/>
    <col min="8" max="8" width="13.42578125" style="411" bestFit="1" customWidth="1" outlineLevel="1"/>
    <col min="9" max="10" width="14.7109375" style="411" customWidth="1"/>
    <col min="11" max="11" width="13.42578125" style="411" customWidth="1"/>
    <col min="12" max="12" width="13.7109375" style="411" customWidth="1"/>
    <col min="13" max="13" width="11.28515625" style="411" customWidth="1"/>
    <col min="14" max="14" width="14.42578125" style="411" customWidth="1"/>
    <col min="15" max="15" width="14.85546875" style="411" customWidth="1"/>
    <col min="16" max="16" width="14.140625" style="411" customWidth="1"/>
    <col min="17" max="17" width="13.140625" style="411" customWidth="1"/>
    <col min="18" max="18" width="12.85546875" style="411" customWidth="1"/>
    <col min="19" max="19" width="10.5703125" style="411" customWidth="1"/>
    <col min="20" max="20" width="12.85546875" style="411" customWidth="1"/>
    <col min="21" max="21" width="20.5703125" style="149" customWidth="1"/>
    <col min="22" max="22" width="13.42578125" style="149" customWidth="1"/>
    <col min="23" max="24" width="9.140625" style="149" customWidth="1"/>
    <col min="25" max="25" width="17" style="149" customWidth="1"/>
    <col min="26" max="26" width="12.85546875" style="149" customWidth="1"/>
    <col min="27" max="16384" width="9.140625" style="149"/>
  </cols>
  <sheetData>
    <row r="1" spans="1:26" ht="15.75" customHeight="1" x14ac:dyDescent="0.25">
      <c r="A1" s="604"/>
      <c r="B1" s="759" t="s">
        <v>1403</v>
      </c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9"/>
      <c r="Q1" s="759"/>
      <c r="R1" s="759"/>
      <c r="S1" s="759"/>
      <c r="T1" s="759"/>
    </row>
    <row r="2" spans="1:26" s="323" customFormat="1" hidden="1" x14ac:dyDescent="0.25">
      <c r="A2" s="604"/>
      <c r="B2" s="610"/>
      <c r="C2" s="150" t="s">
        <v>468</v>
      </c>
      <c r="D2" s="604" t="s">
        <v>469</v>
      </c>
      <c r="E2" s="604" t="s">
        <v>470</v>
      </c>
      <c r="F2" s="604" t="s">
        <v>471</v>
      </c>
      <c r="G2" s="604" t="s">
        <v>472</v>
      </c>
      <c r="H2" s="604" t="s">
        <v>473</v>
      </c>
      <c r="I2" s="604" t="s">
        <v>468</v>
      </c>
      <c r="J2" s="604" t="s">
        <v>469</v>
      </c>
      <c r="K2" s="604" t="s">
        <v>470</v>
      </c>
      <c r="L2" s="604" t="s">
        <v>471</v>
      </c>
      <c r="M2" s="604" t="s">
        <v>472</v>
      </c>
      <c r="N2" s="604" t="s">
        <v>473</v>
      </c>
      <c r="O2" s="604" t="s">
        <v>468</v>
      </c>
      <c r="P2" s="604" t="s">
        <v>469</v>
      </c>
      <c r="Q2" s="604" t="s">
        <v>470</v>
      </c>
      <c r="R2" s="604" t="s">
        <v>471</v>
      </c>
      <c r="S2" s="604" t="s">
        <v>472</v>
      </c>
      <c r="T2" s="604" t="s">
        <v>473</v>
      </c>
    </row>
    <row r="3" spans="1:26" x14ac:dyDescent="0.25">
      <c r="A3" s="604"/>
      <c r="B3" s="611"/>
      <c r="C3" s="763" t="s">
        <v>1399</v>
      </c>
      <c r="D3" s="763"/>
      <c r="E3" s="763"/>
      <c r="F3" s="763"/>
      <c r="G3" s="763"/>
      <c r="H3" s="763"/>
      <c r="I3" s="764"/>
      <c r="J3" s="765"/>
      <c r="K3" s="765"/>
      <c r="L3" s="765"/>
      <c r="M3" s="765"/>
      <c r="N3" s="766"/>
      <c r="O3" s="764"/>
      <c r="P3" s="765"/>
      <c r="Q3" s="765"/>
      <c r="R3" s="765"/>
      <c r="S3" s="765"/>
      <c r="T3" s="766"/>
    </row>
    <row r="4" spans="1:26" ht="15.75" customHeight="1" x14ac:dyDescent="0.25">
      <c r="A4" s="760" t="s">
        <v>99</v>
      </c>
      <c r="B4" s="761" t="s">
        <v>465</v>
      </c>
      <c r="C4" s="762" t="s">
        <v>466</v>
      </c>
      <c r="D4" s="762"/>
      <c r="E4" s="762"/>
      <c r="F4" s="762"/>
      <c r="G4" s="762"/>
      <c r="H4" s="762"/>
      <c r="I4" s="762" t="s">
        <v>938</v>
      </c>
      <c r="J4" s="762"/>
      <c r="K4" s="762"/>
      <c r="L4" s="762"/>
      <c r="M4" s="762"/>
      <c r="N4" s="762"/>
      <c r="O4" s="762" t="s">
        <v>467</v>
      </c>
      <c r="P4" s="762"/>
      <c r="Q4" s="762"/>
      <c r="R4" s="762"/>
      <c r="S4" s="762"/>
      <c r="T4" s="762"/>
      <c r="U4" s="149" t="s">
        <v>1098</v>
      </c>
      <c r="V4" s="149" t="s">
        <v>888</v>
      </c>
    </row>
    <row r="5" spans="1:26" x14ac:dyDescent="0.25">
      <c r="A5" s="760"/>
      <c r="B5" s="761"/>
      <c r="C5" s="150" t="s">
        <v>468</v>
      </c>
      <c r="D5" s="604" t="s">
        <v>469</v>
      </c>
      <c r="E5" s="604" t="s">
        <v>470</v>
      </c>
      <c r="F5" s="604" t="s">
        <v>471</v>
      </c>
      <c r="G5" s="604" t="s">
        <v>472</v>
      </c>
      <c r="H5" s="604" t="s">
        <v>473</v>
      </c>
      <c r="I5" s="604" t="s">
        <v>468</v>
      </c>
      <c r="J5" s="604" t="s">
        <v>469</v>
      </c>
      <c r="K5" s="604" t="s">
        <v>470</v>
      </c>
      <c r="L5" s="604" t="s">
        <v>471</v>
      </c>
      <c r="M5" s="604" t="s">
        <v>472</v>
      </c>
      <c r="N5" s="604" t="s">
        <v>473</v>
      </c>
      <c r="O5" s="604" t="s">
        <v>468</v>
      </c>
      <c r="P5" s="604" t="s">
        <v>469</v>
      </c>
      <c r="Q5" s="604" t="s">
        <v>470</v>
      </c>
      <c r="R5" s="604" t="s">
        <v>471</v>
      </c>
      <c r="S5" s="604" t="s">
        <v>472</v>
      </c>
      <c r="T5" s="604" t="s">
        <v>473</v>
      </c>
    </row>
    <row r="6" spans="1:26" s="621" customFormat="1" ht="101.25" customHeight="1" x14ac:dyDescent="0.3">
      <c r="A6" s="616">
        <v>1</v>
      </c>
      <c r="B6" s="617" t="s">
        <v>1271</v>
      </c>
      <c r="C6" s="593">
        <f>SUM(D6:H6)</f>
        <v>23153.25</v>
      </c>
      <c r="D6" s="593">
        <f>SUM(D7+D10+D14)</f>
        <v>3351.3</v>
      </c>
      <c r="E6" s="593">
        <f>SUM(E7+E10+E14)</f>
        <v>1922.4</v>
      </c>
      <c r="F6" s="593">
        <f>SUM(F7+F10+F14)+F18</f>
        <v>16029.55</v>
      </c>
      <c r="G6" s="593">
        <f>SUM(G7+G10+G14)</f>
        <v>1850</v>
      </c>
      <c r="H6" s="593">
        <f>SUM(H7+H10+H14)</f>
        <v>0</v>
      </c>
      <c r="I6" s="618">
        <f>I7+I10+I14+I18</f>
        <v>21522.218000000001</v>
      </c>
      <c r="J6" s="593">
        <f>SUM(J7+J10+J14)</f>
        <v>3351.3</v>
      </c>
      <c r="K6" s="593">
        <f>SUM(K7+K10+K14)</f>
        <v>291.42</v>
      </c>
      <c r="L6" s="593">
        <f>SUM(L7+L10+L14)+L18</f>
        <v>16029.498</v>
      </c>
      <c r="M6" s="593">
        <f>SUM(M7+M10+M14)</f>
        <v>1850</v>
      </c>
      <c r="N6" s="593">
        <f>SUM(N7+N10+N14)</f>
        <v>0</v>
      </c>
      <c r="O6" s="593">
        <f t="shared" ref="O6:O19" si="0">SUM(P6:T6)</f>
        <v>21283.278000000002</v>
      </c>
      <c r="P6" s="593">
        <f>SUM(P7+P10+P14)</f>
        <v>3351.3</v>
      </c>
      <c r="Q6" s="593">
        <f>SUM(Q7+Q10+Q14)</f>
        <v>291.42</v>
      </c>
      <c r="R6" s="593">
        <f>SUM(R7+R10+R14)+R18</f>
        <v>15790.558000000001</v>
      </c>
      <c r="S6" s="593">
        <f>SUM(S7+S10+S14)</f>
        <v>1850</v>
      </c>
      <c r="T6" s="593">
        <f>SUM(T7+T10+T14)</f>
        <v>0</v>
      </c>
      <c r="U6" s="619">
        <f>I6/4*4</f>
        <v>21522.218000000001</v>
      </c>
      <c r="V6" s="620">
        <f>O6/U6*100</f>
        <v>98.889798439919161</v>
      </c>
      <c r="Y6" s="622">
        <f>I6-L6</f>
        <v>5492.7200000000012</v>
      </c>
      <c r="Z6" s="622">
        <f>Y6/I6*100</f>
        <v>25.521161434197907</v>
      </c>
    </row>
    <row r="7" spans="1:26" s="11" customFormat="1" ht="67.5" customHeight="1" x14ac:dyDescent="0.25">
      <c r="A7" s="247"/>
      <c r="B7" s="414" t="s">
        <v>1276</v>
      </c>
      <c r="C7" s="151">
        <f t="shared" ref="C7:C18" si="1">SUM(D7:H7)</f>
        <v>2171.4499999999998</v>
      </c>
      <c r="D7" s="152"/>
      <c r="E7" s="152"/>
      <c r="F7" s="152">
        <f>F8+F9</f>
        <v>2171.4499999999998</v>
      </c>
      <c r="G7" s="152">
        <f>G8+G9</f>
        <v>0</v>
      </c>
      <c r="H7" s="152"/>
      <c r="I7" s="151">
        <f t="shared" ref="I7:I19" si="2">SUM(J7:N7)</f>
        <v>1745.671</v>
      </c>
      <c r="J7" s="152"/>
      <c r="K7" s="152"/>
      <c r="L7" s="152">
        <f>L8+L9</f>
        <v>1745.671</v>
      </c>
      <c r="M7" s="152"/>
      <c r="N7" s="152"/>
      <c r="O7" s="151">
        <f t="shared" si="0"/>
        <v>1745.671</v>
      </c>
      <c r="P7" s="152"/>
      <c r="Q7" s="152"/>
      <c r="R7" s="152">
        <f>R8+R9</f>
        <v>1745.671</v>
      </c>
      <c r="S7" s="152"/>
      <c r="T7" s="152"/>
    </row>
    <row r="8" spans="1:26" ht="31.5" customHeight="1" x14ac:dyDescent="0.25">
      <c r="A8" s="407"/>
      <c r="B8" s="153" t="s">
        <v>475</v>
      </c>
      <c r="C8" s="151">
        <f>SUM(D8:H8)</f>
        <v>1745.7</v>
      </c>
      <c r="D8" s="154"/>
      <c r="E8" s="154"/>
      <c r="F8" s="154">
        <v>1745.7</v>
      </c>
      <c r="G8" s="268"/>
      <c r="H8" s="154"/>
      <c r="I8" s="151">
        <f t="shared" si="2"/>
        <v>1745.671</v>
      </c>
      <c r="J8" s="154"/>
      <c r="K8" s="154"/>
      <c r="L8" s="269">
        <f>1087.536+658.135</f>
        <v>1745.671</v>
      </c>
      <c r="M8" s="154"/>
      <c r="N8" s="154"/>
      <c r="O8" s="151">
        <f t="shared" si="0"/>
        <v>1745.671</v>
      </c>
      <c r="P8" s="154"/>
      <c r="Q8" s="154"/>
      <c r="R8" s="269">
        <f>1087.536+658.135</f>
        <v>1745.671</v>
      </c>
      <c r="S8" s="154"/>
      <c r="T8" s="154"/>
    </row>
    <row r="9" spans="1:26" ht="32.25" customHeight="1" x14ac:dyDescent="0.25">
      <c r="A9" s="407"/>
      <c r="B9" s="153" t="s">
        <v>476</v>
      </c>
      <c r="C9" s="151">
        <f t="shared" si="1"/>
        <v>425.75</v>
      </c>
      <c r="D9" s="154"/>
      <c r="E9" s="154"/>
      <c r="F9" s="403">
        <v>425.75</v>
      </c>
      <c r="G9" s="154"/>
      <c r="H9" s="154"/>
      <c r="I9" s="151">
        <f t="shared" si="2"/>
        <v>0</v>
      </c>
      <c r="J9" s="154"/>
      <c r="K9" s="154"/>
      <c r="L9" s="155"/>
      <c r="M9" s="154"/>
      <c r="N9" s="154"/>
      <c r="O9" s="151">
        <f t="shared" si="0"/>
        <v>0</v>
      </c>
      <c r="P9" s="154"/>
      <c r="Q9" s="154"/>
      <c r="R9" s="155"/>
      <c r="S9" s="154"/>
      <c r="T9" s="154"/>
    </row>
    <row r="10" spans="1:26" ht="47.25" x14ac:dyDescent="0.25">
      <c r="A10" s="407"/>
      <c r="B10" s="414" t="s">
        <v>477</v>
      </c>
      <c r="C10" s="151">
        <f>SUM(D10:H10)</f>
        <v>9151.6</v>
      </c>
      <c r="D10" s="152">
        <f>SUM(D11:D12)</f>
        <v>3351.3</v>
      </c>
      <c r="E10" s="152">
        <f>SUM(E11:E12)</f>
        <v>1922.4</v>
      </c>
      <c r="F10" s="152">
        <f>SUM(F11:F13)</f>
        <v>2027.9</v>
      </c>
      <c r="G10" s="152">
        <f t="shared" ref="G10:N10" si="3">SUM(G11:G12)</f>
        <v>1850</v>
      </c>
      <c r="H10" s="152">
        <f t="shared" si="3"/>
        <v>0</v>
      </c>
      <c r="I10" s="151">
        <f>SUM(J10:N10)</f>
        <v>7946.357</v>
      </c>
      <c r="J10" s="152">
        <f t="shared" si="3"/>
        <v>3351.3</v>
      </c>
      <c r="K10" s="152">
        <f t="shared" si="3"/>
        <v>291.42</v>
      </c>
      <c r="L10" s="152">
        <f>SUM(L11:L13)</f>
        <v>2453.6370000000002</v>
      </c>
      <c r="M10" s="152">
        <f t="shared" si="3"/>
        <v>1850</v>
      </c>
      <c r="N10" s="152">
        <f t="shared" si="3"/>
        <v>0</v>
      </c>
      <c r="O10" s="151">
        <f t="shared" si="0"/>
        <v>7946.357</v>
      </c>
      <c r="P10" s="152">
        <f>SUM(P11:P12)</f>
        <v>3351.3</v>
      </c>
      <c r="Q10" s="152">
        <f>SUM(Q11:Q12)</f>
        <v>291.42</v>
      </c>
      <c r="R10" s="152">
        <f>SUM(R11:R13)</f>
        <v>2453.6370000000002</v>
      </c>
      <c r="S10" s="152">
        <f>SUM(S11:S13)</f>
        <v>1850</v>
      </c>
      <c r="T10" s="152">
        <f>SUM(T11:T13)</f>
        <v>0</v>
      </c>
    </row>
    <row r="11" spans="1:26" ht="63" customHeight="1" x14ac:dyDescent="0.25">
      <c r="A11" s="407"/>
      <c r="B11" s="153" t="s">
        <v>1404</v>
      </c>
      <c r="C11" s="151">
        <f t="shared" si="1"/>
        <v>1631</v>
      </c>
      <c r="D11" s="154"/>
      <c r="E11" s="268">
        <v>1631</v>
      </c>
      <c r="F11" s="154"/>
      <c r="G11" s="154"/>
      <c r="H11" s="154"/>
      <c r="I11" s="151">
        <f t="shared" si="2"/>
        <v>0</v>
      </c>
      <c r="J11" s="154"/>
      <c r="K11" s="154"/>
      <c r="L11" s="154"/>
      <c r="M11" s="154"/>
      <c r="N11" s="154"/>
      <c r="O11" s="151">
        <f t="shared" si="0"/>
        <v>0</v>
      </c>
      <c r="P11" s="154"/>
      <c r="Q11" s="154"/>
      <c r="R11" s="154"/>
      <c r="S11" s="154"/>
      <c r="T11" s="154"/>
    </row>
    <row r="12" spans="1:26" ht="31.5" customHeight="1" x14ac:dyDescent="0.25">
      <c r="A12" s="407"/>
      <c r="B12" s="153" t="s">
        <v>957</v>
      </c>
      <c r="C12" s="151">
        <f t="shared" si="1"/>
        <v>7520.6</v>
      </c>
      <c r="D12" s="268">
        <v>3351.3</v>
      </c>
      <c r="E12" s="268">
        <v>291.39999999999998</v>
      </c>
      <c r="F12" s="268">
        <v>2027.9</v>
      </c>
      <c r="G12" s="156">
        <v>1850</v>
      </c>
      <c r="H12" s="154"/>
      <c r="I12" s="151">
        <f t="shared" si="2"/>
        <v>7520.6100000000006</v>
      </c>
      <c r="J12" s="154">
        <v>3351.3</v>
      </c>
      <c r="K12" s="154">
        <v>291.42</v>
      </c>
      <c r="L12" s="154">
        <v>2027.89</v>
      </c>
      <c r="M12" s="154">
        <v>1850</v>
      </c>
      <c r="N12" s="154">
        <v>0</v>
      </c>
      <c r="O12" s="151">
        <f t="shared" si="0"/>
        <v>7520.6100000000006</v>
      </c>
      <c r="P12" s="154">
        <v>3351.3</v>
      </c>
      <c r="Q12" s="154">
        <v>291.42</v>
      </c>
      <c r="R12" s="154">
        <v>2027.89</v>
      </c>
      <c r="S12" s="154">
        <v>1850</v>
      </c>
      <c r="T12" s="154">
        <v>0</v>
      </c>
    </row>
    <row r="13" spans="1:26" ht="20.25" customHeight="1" x14ac:dyDescent="0.25">
      <c r="A13" s="407"/>
      <c r="B13" s="153" t="s">
        <v>945</v>
      </c>
      <c r="C13" s="151">
        <f t="shared" si="1"/>
        <v>0</v>
      </c>
      <c r="D13" s="268"/>
      <c r="E13" s="268"/>
      <c r="F13" s="268"/>
      <c r="G13" s="156"/>
      <c r="H13" s="154"/>
      <c r="I13" s="151">
        <f t="shared" si="2"/>
        <v>425.74700000000001</v>
      </c>
      <c r="J13" s="154"/>
      <c r="K13" s="154"/>
      <c r="L13" s="154">
        <v>425.74700000000001</v>
      </c>
      <c r="M13" s="154"/>
      <c r="N13" s="154"/>
      <c r="O13" s="151">
        <f t="shared" si="0"/>
        <v>425.74700000000001</v>
      </c>
      <c r="P13" s="154"/>
      <c r="Q13" s="154"/>
      <c r="R13" s="154">
        <v>425.74700000000001</v>
      </c>
      <c r="S13" s="154"/>
      <c r="T13" s="154"/>
    </row>
    <row r="14" spans="1:26" s="11" customFormat="1" ht="48" customHeight="1" x14ac:dyDescent="0.25">
      <c r="A14" s="247"/>
      <c r="B14" s="414" t="s">
        <v>478</v>
      </c>
      <c r="C14" s="151">
        <f>SUM(D14:H14)</f>
        <v>9632.7999999999993</v>
      </c>
      <c r="D14" s="152">
        <f>SUM(D15:D17)</f>
        <v>0</v>
      </c>
      <c r="E14" s="152">
        <f>SUM(E15:E17)</f>
        <v>0</v>
      </c>
      <c r="F14" s="152">
        <f>SUM(F15:F17)</f>
        <v>9632.7999999999993</v>
      </c>
      <c r="G14" s="152">
        <f>SUM(G15:G17)</f>
        <v>0</v>
      </c>
      <c r="H14" s="152">
        <f>SUM(H15:H17)</f>
        <v>0</v>
      </c>
      <c r="I14" s="151">
        <f t="shared" si="2"/>
        <v>9632.83</v>
      </c>
      <c r="J14" s="152"/>
      <c r="K14" s="152"/>
      <c r="L14" s="152">
        <f>SUM(L15:L17)</f>
        <v>9632.83</v>
      </c>
      <c r="M14" s="152"/>
      <c r="N14" s="152"/>
      <c r="O14" s="151">
        <f t="shared" si="0"/>
        <v>9612.93</v>
      </c>
      <c r="P14" s="152"/>
      <c r="Q14" s="152"/>
      <c r="R14" s="152">
        <f>SUM(R15:R17)</f>
        <v>9612.93</v>
      </c>
      <c r="S14" s="152"/>
      <c r="T14" s="152"/>
    </row>
    <row r="15" spans="1:26" ht="17.25" customHeight="1" x14ac:dyDescent="0.25">
      <c r="A15" s="407"/>
      <c r="B15" s="153" t="s">
        <v>479</v>
      </c>
      <c r="C15" s="151">
        <f t="shared" si="1"/>
        <v>6532.8</v>
      </c>
      <c r="D15" s="154"/>
      <c r="E15" s="154"/>
      <c r="F15" s="268">
        <v>6532.8</v>
      </c>
      <c r="G15" s="154"/>
      <c r="H15" s="154"/>
      <c r="I15" s="151">
        <f t="shared" si="2"/>
        <v>6532.83</v>
      </c>
      <c r="J15" s="154"/>
      <c r="K15" s="154"/>
      <c r="L15" s="154">
        <v>6532.83</v>
      </c>
      <c r="M15" s="154"/>
      <c r="N15" s="155"/>
      <c r="O15" s="151">
        <f t="shared" si="0"/>
        <v>6512.93</v>
      </c>
      <c r="P15" s="154"/>
      <c r="Q15" s="154"/>
      <c r="R15" s="154">
        <v>6512.93</v>
      </c>
      <c r="S15" s="154"/>
      <c r="T15" s="154"/>
    </row>
    <row r="16" spans="1:26" ht="16.5" customHeight="1" x14ac:dyDescent="0.25">
      <c r="A16" s="407"/>
      <c r="B16" s="153" t="s">
        <v>480</v>
      </c>
      <c r="C16" s="151">
        <f t="shared" si="1"/>
        <v>0</v>
      </c>
      <c r="D16" s="268"/>
      <c r="E16" s="268"/>
      <c r="F16" s="154"/>
      <c r="G16" s="154"/>
      <c r="H16" s="268"/>
      <c r="I16" s="151">
        <f t="shared" si="2"/>
        <v>0</v>
      </c>
      <c r="J16" s="154"/>
      <c r="K16" s="154"/>
      <c r="L16" s="155">
        <v>0</v>
      </c>
      <c r="M16" s="154"/>
      <c r="N16" s="154"/>
      <c r="O16" s="151">
        <f t="shared" si="0"/>
        <v>0</v>
      </c>
      <c r="P16" s="154"/>
      <c r="Q16" s="154"/>
      <c r="R16" s="155">
        <v>0</v>
      </c>
      <c r="S16" s="154"/>
      <c r="T16" s="154"/>
    </row>
    <row r="17" spans="1:26" ht="17.25" customHeight="1" x14ac:dyDescent="0.25">
      <c r="A17" s="407"/>
      <c r="B17" s="153" t="s">
        <v>954</v>
      </c>
      <c r="C17" s="151">
        <f t="shared" si="1"/>
        <v>3100</v>
      </c>
      <c r="D17" s="268"/>
      <c r="E17" s="268"/>
      <c r="F17" s="270">
        <v>3100</v>
      </c>
      <c r="G17" s="154"/>
      <c r="H17" s="268"/>
      <c r="I17" s="151">
        <f t="shared" si="2"/>
        <v>3100</v>
      </c>
      <c r="J17" s="154"/>
      <c r="K17" s="154"/>
      <c r="L17" s="155">
        <v>3100</v>
      </c>
      <c r="M17" s="154"/>
      <c r="N17" s="154"/>
      <c r="O17" s="151">
        <f t="shared" si="0"/>
        <v>3100</v>
      </c>
      <c r="P17" s="154"/>
      <c r="Q17" s="154"/>
      <c r="R17" s="155">
        <v>3100</v>
      </c>
      <c r="S17" s="154"/>
      <c r="T17" s="154"/>
    </row>
    <row r="18" spans="1:26" s="11" customFormat="1" ht="51" customHeight="1" x14ac:dyDescent="0.25">
      <c r="A18" s="247"/>
      <c r="B18" s="414" t="s">
        <v>481</v>
      </c>
      <c r="C18" s="151">
        <f t="shared" si="1"/>
        <v>2197.4</v>
      </c>
      <c r="D18" s="152"/>
      <c r="E18" s="152"/>
      <c r="F18" s="152">
        <f>SUM(F19:F19)</f>
        <v>2197.4</v>
      </c>
      <c r="G18" s="152"/>
      <c r="H18" s="152"/>
      <c r="I18" s="151">
        <f t="shared" si="2"/>
        <v>2197.36</v>
      </c>
      <c r="J18" s="152"/>
      <c r="K18" s="152"/>
      <c r="L18" s="152">
        <f>SUM(L19:L19)</f>
        <v>2197.36</v>
      </c>
      <c r="M18" s="152"/>
      <c r="N18" s="152"/>
      <c r="O18" s="151">
        <f t="shared" si="0"/>
        <v>1978.32</v>
      </c>
      <c r="P18" s="152"/>
      <c r="Q18" s="152"/>
      <c r="R18" s="152">
        <f>R19</f>
        <v>1978.32</v>
      </c>
      <c r="S18" s="152"/>
      <c r="T18" s="152"/>
    </row>
    <row r="19" spans="1:26" ht="31.5" x14ac:dyDescent="0.25">
      <c r="A19" s="407"/>
      <c r="B19" s="153" t="s">
        <v>221</v>
      </c>
      <c r="C19" s="151">
        <f t="shared" ref="C19:C26" si="4">SUM(D19:H19)</f>
        <v>2197.4</v>
      </c>
      <c r="D19" s="154"/>
      <c r="E19" s="154"/>
      <c r="F19" s="268">
        <v>2197.4</v>
      </c>
      <c r="G19" s="154"/>
      <c r="H19" s="154"/>
      <c r="I19" s="151">
        <f t="shared" si="2"/>
        <v>2197.36</v>
      </c>
      <c r="J19" s="155"/>
      <c r="K19" s="155"/>
      <c r="L19" s="155">
        <v>2197.36</v>
      </c>
      <c r="M19" s="155"/>
      <c r="N19" s="154"/>
      <c r="O19" s="151">
        <f t="shared" si="0"/>
        <v>1978.32</v>
      </c>
      <c r="P19" s="155"/>
      <c r="Q19" s="155"/>
      <c r="R19" s="155">
        <v>1978.32</v>
      </c>
      <c r="S19" s="155"/>
      <c r="T19" s="155"/>
    </row>
    <row r="20" spans="1:26" s="596" customFormat="1" ht="47.25" x14ac:dyDescent="0.3">
      <c r="A20" s="591">
        <v>2</v>
      </c>
      <c r="B20" s="633" t="s">
        <v>482</v>
      </c>
      <c r="C20" s="593">
        <f t="shared" si="4"/>
        <v>47449.29</v>
      </c>
      <c r="D20" s="593">
        <f>SUM(D21:D23)</f>
        <v>0</v>
      </c>
      <c r="E20" s="593">
        <f>SUM(E21:E23)</f>
        <v>30500</v>
      </c>
      <c r="F20" s="593">
        <f>SUM(F21:F23)</f>
        <v>16949.29</v>
      </c>
      <c r="G20" s="593">
        <f>SUM(G21:G23)</f>
        <v>0</v>
      </c>
      <c r="H20" s="593">
        <f>SUM(H21:H23)</f>
        <v>0</v>
      </c>
      <c r="I20" s="593">
        <f>SUM(J20:N20)</f>
        <v>48772.71</v>
      </c>
      <c r="J20" s="593">
        <f t="shared" ref="J20:S20" si="5">SUM(J21:J23)</f>
        <v>0</v>
      </c>
      <c r="K20" s="593">
        <f t="shared" si="5"/>
        <v>31743.15</v>
      </c>
      <c r="L20" s="593">
        <f t="shared" si="5"/>
        <v>17029.559999999998</v>
      </c>
      <c r="M20" s="593">
        <f t="shared" si="5"/>
        <v>0</v>
      </c>
      <c r="N20" s="593">
        <f t="shared" si="5"/>
        <v>0</v>
      </c>
      <c r="O20" s="593">
        <f>SUM(P20:T20)</f>
        <v>47578.32</v>
      </c>
      <c r="P20" s="593">
        <f t="shared" si="5"/>
        <v>0</v>
      </c>
      <c r="Q20" s="593">
        <f t="shared" si="5"/>
        <v>31743.15</v>
      </c>
      <c r="R20" s="593">
        <f t="shared" si="5"/>
        <v>15835.17</v>
      </c>
      <c r="S20" s="593">
        <f t="shared" si="5"/>
        <v>0</v>
      </c>
      <c r="T20" s="634">
        <v>0</v>
      </c>
      <c r="U20" s="594">
        <f>I20/4*4</f>
        <v>48772.71</v>
      </c>
      <c r="V20" s="595">
        <f>O20/U20*100</f>
        <v>97.551110036739814</v>
      </c>
      <c r="Y20" s="597">
        <f>I20-L20</f>
        <v>31743.15</v>
      </c>
      <c r="Z20" s="597">
        <f>Y20/I20*100</f>
        <v>65.083834792038417</v>
      </c>
    </row>
    <row r="21" spans="1:26" ht="65.25" customHeight="1" x14ac:dyDescent="0.25">
      <c r="A21" s="407"/>
      <c r="B21" s="158" t="s">
        <v>1280</v>
      </c>
      <c r="C21" s="151">
        <f t="shared" si="4"/>
        <v>4052.8</v>
      </c>
      <c r="D21" s="159"/>
      <c r="E21" s="160"/>
      <c r="F21" s="271">
        <v>4052.8</v>
      </c>
      <c r="G21" s="159"/>
      <c r="H21" s="159"/>
      <c r="I21" s="151">
        <f>SUM(J21:N21)</f>
        <v>3909.33</v>
      </c>
      <c r="J21" s="159"/>
      <c r="K21" s="159"/>
      <c r="L21" s="159">
        <v>3909.33</v>
      </c>
      <c r="M21" s="159"/>
      <c r="N21" s="159"/>
      <c r="O21" s="151">
        <f>SUM(P21:T21)</f>
        <v>3909.33</v>
      </c>
      <c r="P21" s="159"/>
      <c r="Q21" s="159"/>
      <c r="R21" s="160">
        <v>3909.33</v>
      </c>
      <c r="S21" s="159"/>
      <c r="T21" s="155"/>
    </row>
    <row r="22" spans="1:26" ht="47.25" x14ac:dyDescent="0.25">
      <c r="A22" s="407"/>
      <c r="B22" s="158" t="s">
        <v>483</v>
      </c>
      <c r="C22" s="151">
        <f t="shared" si="4"/>
        <v>500</v>
      </c>
      <c r="D22" s="155"/>
      <c r="E22" s="155"/>
      <c r="F22" s="271">
        <v>500</v>
      </c>
      <c r="G22" s="159"/>
      <c r="H22" s="159"/>
      <c r="I22" s="151">
        <f>SUM(J22:N22)</f>
        <v>363.51</v>
      </c>
      <c r="J22" s="155"/>
      <c r="K22" s="159"/>
      <c r="L22" s="161">
        <v>363.51</v>
      </c>
      <c r="M22" s="159"/>
      <c r="N22" s="159"/>
      <c r="O22" s="151">
        <f>SUM(P22:T22)</f>
        <v>363.51</v>
      </c>
      <c r="P22" s="155"/>
      <c r="Q22" s="159"/>
      <c r="R22" s="160">
        <v>363.51</v>
      </c>
      <c r="S22" s="159"/>
      <c r="T22" s="155"/>
    </row>
    <row r="23" spans="1:26" s="253" customFormat="1" ht="47.25" x14ac:dyDescent="0.25">
      <c r="A23" s="191"/>
      <c r="B23" s="252" t="s">
        <v>1281</v>
      </c>
      <c r="C23" s="151">
        <f t="shared" si="4"/>
        <v>42896.49</v>
      </c>
      <c r="D23" s="155"/>
      <c r="E23" s="272">
        <v>30500</v>
      </c>
      <c r="F23" s="159">
        <v>12396.49</v>
      </c>
      <c r="G23" s="159"/>
      <c r="H23" s="159"/>
      <c r="I23" s="151">
        <f>SUM(J23:N23)</f>
        <v>44499.87</v>
      </c>
      <c r="J23" s="155"/>
      <c r="K23" s="159">
        <v>31743.15</v>
      </c>
      <c r="L23" s="161">
        <v>12756.72</v>
      </c>
      <c r="M23" s="159"/>
      <c r="N23" s="159"/>
      <c r="O23" s="151">
        <f>SUM(P23:T23)</f>
        <v>43305.48</v>
      </c>
      <c r="P23" s="159"/>
      <c r="Q23" s="159">
        <v>31743.15</v>
      </c>
      <c r="R23" s="160">
        <v>11562.33</v>
      </c>
      <c r="S23" s="159"/>
      <c r="T23" s="155"/>
    </row>
    <row r="24" spans="1:26" s="596" customFormat="1" ht="47.25" x14ac:dyDescent="0.3">
      <c r="A24" s="591">
        <v>3</v>
      </c>
      <c r="B24" s="635" t="s">
        <v>1372</v>
      </c>
      <c r="C24" s="593">
        <f t="shared" si="4"/>
        <v>2853</v>
      </c>
      <c r="D24" s="636">
        <f t="shared" ref="D24:T24" si="6">SUM(D25+D27+D30+D32)</f>
        <v>0</v>
      </c>
      <c r="E24" s="636">
        <f t="shared" si="6"/>
        <v>0</v>
      </c>
      <c r="F24" s="636">
        <f t="shared" si="6"/>
        <v>173</v>
      </c>
      <c r="G24" s="636">
        <f t="shared" si="6"/>
        <v>0</v>
      </c>
      <c r="H24" s="636">
        <f t="shared" si="6"/>
        <v>2680</v>
      </c>
      <c r="I24" s="636">
        <f t="shared" si="6"/>
        <v>6464</v>
      </c>
      <c r="J24" s="636">
        <f t="shared" si="6"/>
        <v>0</v>
      </c>
      <c r="K24" s="636">
        <f t="shared" si="6"/>
        <v>0</v>
      </c>
      <c r="L24" s="636">
        <f t="shared" si="6"/>
        <v>173</v>
      </c>
      <c r="M24" s="636">
        <f t="shared" si="6"/>
        <v>0</v>
      </c>
      <c r="N24" s="636">
        <f t="shared" si="6"/>
        <v>6291</v>
      </c>
      <c r="O24" s="636">
        <f>SUM(O25+O27+O30+O32)</f>
        <v>6464</v>
      </c>
      <c r="P24" s="636">
        <f t="shared" si="6"/>
        <v>0</v>
      </c>
      <c r="Q24" s="636">
        <f t="shared" si="6"/>
        <v>0</v>
      </c>
      <c r="R24" s="636">
        <f t="shared" si="6"/>
        <v>173</v>
      </c>
      <c r="S24" s="636">
        <f t="shared" si="6"/>
        <v>0</v>
      </c>
      <c r="T24" s="636">
        <f t="shared" si="6"/>
        <v>6291</v>
      </c>
      <c r="U24" s="594">
        <f>I24/4*4</f>
        <v>6464</v>
      </c>
      <c r="V24" s="595">
        <f>O24/U24*100</f>
        <v>100</v>
      </c>
      <c r="Y24" s="597">
        <f>I24-L24</f>
        <v>6291</v>
      </c>
      <c r="Z24" s="597">
        <f>Y24/I24*100</f>
        <v>97.323638613861391</v>
      </c>
    </row>
    <row r="25" spans="1:26" ht="67.5" customHeight="1" x14ac:dyDescent="0.25">
      <c r="A25" s="407"/>
      <c r="B25" s="163" t="s">
        <v>485</v>
      </c>
      <c r="C25" s="273">
        <f t="shared" si="4"/>
        <v>238</v>
      </c>
      <c r="D25" s="164">
        <f>SUM(D26:D26)</f>
        <v>0</v>
      </c>
      <c r="E25" s="164">
        <f>SUM(E26:E26)</f>
        <v>0</v>
      </c>
      <c r="F25" s="164">
        <f>SUM(F26:F26)</f>
        <v>138</v>
      </c>
      <c r="G25" s="164">
        <f>SUM(G26:G26)</f>
        <v>0</v>
      </c>
      <c r="H25" s="164">
        <f>SUM(H26:H26)</f>
        <v>100</v>
      </c>
      <c r="I25" s="273">
        <f t="shared" ref="I25:I55" si="7">SUM(J25:N25)</f>
        <v>260.5</v>
      </c>
      <c r="J25" s="155"/>
      <c r="K25" s="155"/>
      <c r="L25" s="164">
        <f>SUM(L26:L26)</f>
        <v>138</v>
      </c>
      <c r="M25" s="164">
        <f>SUM(M26:M26)</f>
        <v>0</v>
      </c>
      <c r="N25" s="164">
        <f>SUM(N26:N26)</f>
        <v>122.5</v>
      </c>
      <c r="O25" s="273">
        <f t="shared" ref="O25:O38" si="8">SUM(P25:T25)</f>
        <v>260.5</v>
      </c>
      <c r="P25" s="155"/>
      <c r="Q25" s="155"/>
      <c r="R25" s="164">
        <f>SUM(R26:R26)</f>
        <v>138</v>
      </c>
      <c r="S25" s="164">
        <f>SUM(S26:S26)</f>
        <v>0</v>
      </c>
      <c r="T25" s="164">
        <f>SUM(T26:T26)</f>
        <v>122.5</v>
      </c>
    </row>
    <row r="26" spans="1:26" ht="66" customHeight="1" x14ac:dyDescent="0.25">
      <c r="A26" s="407"/>
      <c r="B26" s="165" t="s">
        <v>486</v>
      </c>
      <c r="C26" s="151">
        <f t="shared" si="4"/>
        <v>238</v>
      </c>
      <c r="D26" s="152"/>
      <c r="E26" s="152"/>
      <c r="F26" s="154">
        <v>138</v>
      </c>
      <c r="G26" s="154"/>
      <c r="H26" s="166">
        <v>100</v>
      </c>
      <c r="I26" s="273">
        <f t="shared" si="7"/>
        <v>260.5</v>
      </c>
      <c r="J26" s="155"/>
      <c r="K26" s="155"/>
      <c r="L26" s="154">
        <v>138</v>
      </c>
      <c r="M26" s="154"/>
      <c r="N26" s="166">
        <v>122.5</v>
      </c>
      <c r="O26" s="273">
        <f t="shared" si="8"/>
        <v>260.5</v>
      </c>
      <c r="P26" s="155"/>
      <c r="Q26" s="155"/>
      <c r="R26" s="155">
        <v>138</v>
      </c>
      <c r="S26" s="155"/>
      <c r="T26" s="155">
        <v>122.5</v>
      </c>
    </row>
    <row r="27" spans="1:26" ht="33.75" customHeight="1" x14ac:dyDescent="0.25">
      <c r="A27" s="407"/>
      <c r="B27" s="167" t="s">
        <v>487</v>
      </c>
      <c r="C27" s="151">
        <f t="shared" ref="C27:C34" si="9">SUM(D27:H27)</f>
        <v>155</v>
      </c>
      <c r="D27" s="152">
        <f>SUM(D28:D29)</f>
        <v>0</v>
      </c>
      <c r="E27" s="152">
        <f>SUM(E28:E29)</f>
        <v>0</v>
      </c>
      <c r="F27" s="152">
        <f>SUM(F28:F29)</f>
        <v>25</v>
      </c>
      <c r="G27" s="152">
        <f>SUM(G28:G29)</f>
        <v>0</v>
      </c>
      <c r="H27" s="152">
        <f>SUM(H28:H29)</f>
        <v>130</v>
      </c>
      <c r="I27" s="273">
        <f t="shared" si="7"/>
        <v>189.5</v>
      </c>
      <c r="J27" s="155"/>
      <c r="K27" s="155"/>
      <c r="L27" s="152">
        <f>SUM(L28:L29)</f>
        <v>0</v>
      </c>
      <c r="M27" s="152">
        <f>SUM(M28:M29)</f>
        <v>0</v>
      </c>
      <c r="N27" s="152">
        <f>SUM(N28:N29)</f>
        <v>189.5</v>
      </c>
      <c r="O27" s="273">
        <f t="shared" si="8"/>
        <v>189.5</v>
      </c>
      <c r="P27" s="155"/>
      <c r="Q27" s="155"/>
      <c r="R27" s="168"/>
      <c r="S27" s="155"/>
      <c r="T27" s="152">
        <f>SUM(T28:T29)</f>
        <v>189.5</v>
      </c>
    </row>
    <row r="28" spans="1:26" ht="119.25" customHeight="1" x14ac:dyDescent="0.25">
      <c r="A28" s="407"/>
      <c r="B28" s="169" t="s">
        <v>488</v>
      </c>
      <c r="C28" s="151">
        <f t="shared" si="9"/>
        <v>5</v>
      </c>
      <c r="D28" s="152"/>
      <c r="E28" s="152"/>
      <c r="F28" s="170">
        <v>5</v>
      </c>
      <c r="G28" s="152"/>
      <c r="H28" s="152"/>
      <c r="I28" s="273">
        <f t="shared" si="7"/>
        <v>0</v>
      </c>
      <c r="J28" s="155"/>
      <c r="K28" s="155"/>
      <c r="L28" s="170">
        <v>0</v>
      </c>
      <c r="M28" s="152"/>
      <c r="N28" s="152"/>
      <c r="O28" s="273">
        <f t="shared" si="8"/>
        <v>0</v>
      </c>
      <c r="P28" s="155"/>
      <c r="Q28" s="155"/>
      <c r="R28" s="155"/>
      <c r="S28" s="155"/>
      <c r="T28" s="155"/>
    </row>
    <row r="29" spans="1:26" ht="81.75" customHeight="1" x14ac:dyDescent="0.25">
      <c r="A29" s="407"/>
      <c r="B29" s="171" t="s">
        <v>489</v>
      </c>
      <c r="C29" s="151">
        <f t="shared" si="9"/>
        <v>150</v>
      </c>
      <c r="D29" s="152"/>
      <c r="E29" s="152"/>
      <c r="F29" s="170">
        <v>20</v>
      </c>
      <c r="G29" s="152"/>
      <c r="H29" s="152">
        <v>130</v>
      </c>
      <c r="I29" s="273">
        <f t="shared" si="7"/>
        <v>189.5</v>
      </c>
      <c r="J29" s="155"/>
      <c r="K29" s="155"/>
      <c r="L29" s="170">
        <v>0</v>
      </c>
      <c r="M29" s="154"/>
      <c r="N29" s="154">
        <v>189.5</v>
      </c>
      <c r="O29" s="273">
        <f t="shared" si="8"/>
        <v>189.5</v>
      </c>
      <c r="P29" s="155"/>
      <c r="Q29" s="155"/>
      <c r="R29" s="155"/>
      <c r="S29" s="155"/>
      <c r="T29" s="155">
        <v>189.5</v>
      </c>
    </row>
    <row r="30" spans="1:26" ht="34.5" customHeight="1" x14ac:dyDescent="0.25">
      <c r="A30" s="407"/>
      <c r="B30" s="167" t="s">
        <v>330</v>
      </c>
      <c r="C30" s="151">
        <f t="shared" si="9"/>
        <v>10</v>
      </c>
      <c r="D30" s="172">
        <f>SUM(D31:D31)</f>
        <v>0</v>
      </c>
      <c r="E30" s="172">
        <f>SUM(E31:E31)</f>
        <v>0</v>
      </c>
      <c r="F30" s="172">
        <f>SUM(F31:F31)</f>
        <v>10</v>
      </c>
      <c r="G30" s="172">
        <f>SUM(G31:G31)</f>
        <v>0</v>
      </c>
      <c r="H30" s="172">
        <f>SUM(H31:H31)</f>
        <v>0</v>
      </c>
      <c r="I30" s="273">
        <f t="shared" si="7"/>
        <v>0</v>
      </c>
      <c r="J30" s="155"/>
      <c r="K30" s="155"/>
      <c r="L30" s="172">
        <f>SUM(L31:L31)</f>
        <v>0</v>
      </c>
      <c r="M30" s="172">
        <f>SUM(M31:M31)</f>
        <v>0</v>
      </c>
      <c r="N30" s="172">
        <f>SUM(N31:N31)</f>
        <v>0</v>
      </c>
      <c r="O30" s="273">
        <f t="shared" si="8"/>
        <v>0</v>
      </c>
      <c r="P30" s="155"/>
      <c r="Q30" s="155"/>
      <c r="R30" s="155"/>
      <c r="S30" s="155"/>
      <c r="T30" s="155"/>
    </row>
    <row r="31" spans="1:26" ht="67.5" customHeight="1" x14ac:dyDescent="0.25">
      <c r="A31" s="407"/>
      <c r="B31" s="416" t="s">
        <v>490</v>
      </c>
      <c r="C31" s="151">
        <f t="shared" si="9"/>
        <v>10</v>
      </c>
      <c r="D31" s="152"/>
      <c r="E31" s="152"/>
      <c r="F31" s="172">
        <v>10</v>
      </c>
      <c r="G31" s="152"/>
      <c r="H31" s="152"/>
      <c r="I31" s="273">
        <f t="shared" si="7"/>
        <v>0</v>
      </c>
      <c r="J31" s="155"/>
      <c r="K31" s="155"/>
      <c r="L31" s="172">
        <v>0</v>
      </c>
      <c r="M31" s="152"/>
      <c r="N31" s="152"/>
      <c r="O31" s="273">
        <f t="shared" si="8"/>
        <v>0</v>
      </c>
      <c r="P31" s="155"/>
      <c r="Q31" s="155"/>
      <c r="R31" s="168"/>
      <c r="S31" s="155"/>
      <c r="T31" s="155"/>
    </row>
    <row r="32" spans="1:26" ht="35.25" customHeight="1" x14ac:dyDescent="0.25">
      <c r="A32" s="407"/>
      <c r="B32" s="173" t="s">
        <v>331</v>
      </c>
      <c r="C32" s="151">
        <f>SUM(D32:H32)</f>
        <v>2450</v>
      </c>
      <c r="D32" s="152"/>
      <c r="E32" s="152"/>
      <c r="F32" s="170"/>
      <c r="G32" s="152"/>
      <c r="H32" s="152">
        <f>SUM(H33:H34)</f>
        <v>2450</v>
      </c>
      <c r="I32" s="273">
        <f t="shared" si="7"/>
        <v>6014</v>
      </c>
      <c r="J32" s="155"/>
      <c r="K32" s="155"/>
      <c r="L32" s="170">
        <f>L33+L34</f>
        <v>35</v>
      </c>
      <c r="M32" s="152"/>
      <c r="N32" s="152">
        <f>SUM(N33:N34)</f>
        <v>5979</v>
      </c>
      <c r="O32" s="273">
        <f t="shared" si="8"/>
        <v>6014</v>
      </c>
      <c r="P32" s="155"/>
      <c r="Q32" s="155"/>
      <c r="R32" s="155">
        <f>R33+R34</f>
        <v>35</v>
      </c>
      <c r="S32" s="155"/>
      <c r="T32" s="152">
        <f>SUM(T33:T34)</f>
        <v>5979</v>
      </c>
    </row>
    <row r="33" spans="1:26" ht="45.75" customHeight="1" x14ac:dyDescent="0.25">
      <c r="A33" s="407"/>
      <c r="B33" s="174" t="s">
        <v>491</v>
      </c>
      <c r="C33" s="151">
        <f t="shared" si="9"/>
        <v>2200</v>
      </c>
      <c r="D33" s="152"/>
      <c r="E33" s="152"/>
      <c r="F33" s="170"/>
      <c r="G33" s="152"/>
      <c r="H33" s="154">
        <v>2200</v>
      </c>
      <c r="I33" s="273">
        <f t="shared" si="7"/>
        <v>3081</v>
      </c>
      <c r="J33" s="155"/>
      <c r="K33" s="155"/>
      <c r="L33" s="170">
        <v>35</v>
      </c>
      <c r="M33" s="152"/>
      <c r="N33" s="154">
        <v>3046</v>
      </c>
      <c r="O33" s="273">
        <f t="shared" si="8"/>
        <v>3081</v>
      </c>
      <c r="P33" s="155"/>
      <c r="Q33" s="155"/>
      <c r="R33" s="155">
        <v>35</v>
      </c>
      <c r="S33" s="155"/>
      <c r="T33" s="155">
        <v>3046</v>
      </c>
    </row>
    <row r="34" spans="1:26" ht="30" customHeight="1" x14ac:dyDescent="0.25">
      <c r="A34" s="407"/>
      <c r="B34" s="20" t="s">
        <v>492</v>
      </c>
      <c r="C34" s="151">
        <f t="shared" si="9"/>
        <v>250</v>
      </c>
      <c r="D34" s="152"/>
      <c r="E34" s="152"/>
      <c r="F34" s="152"/>
      <c r="G34" s="152"/>
      <c r="H34" s="155">
        <v>250</v>
      </c>
      <c r="I34" s="273">
        <f t="shared" si="7"/>
        <v>2933</v>
      </c>
      <c r="J34" s="155"/>
      <c r="K34" s="155"/>
      <c r="L34" s="152">
        <v>0</v>
      </c>
      <c r="M34" s="152"/>
      <c r="N34" s="155">
        <v>2933</v>
      </c>
      <c r="O34" s="273">
        <f t="shared" si="8"/>
        <v>2933</v>
      </c>
      <c r="P34" s="155"/>
      <c r="Q34" s="155"/>
      <c r="R34" s="168"/>
      <c r="S34" s="155"/>
      <c r="T34" s="168">
        <v>2933</v>
      </c>
    </row>
    <row r="35" spans="1:26" s="596" customFormat="1" ht="100.5" customHeight="1" x14ac:dyDescent="0.3">
      <c r="A35" s="591">
        <v>4</v>
      </c>
      <c r="B35" s="633" t="s">
        <v>1286</v>
      </c>
      <c r="C35" s="593">
        <f t="shared" ref="C35:H35" si="10">SUM(C36:C38)</f>
        <v>165</v>
      </c>
      <c r="D35" s="593">
        <f t="shared" si="10"/>
        <v>0</v>
      </c>
      <c r="E35" s="593">
        <f t="shared" si="10"/>
        <v>0</v>
      </c>
      <c r="F35" s="593">
        <f t="shared" si="10"/>
        <v>165</v>
      </c>
      <c r="G35" s="593">
        <f t="shared" si="10"/>
        <v>0</v>
      </c>
      <c r="H35" s="593">
        <f t="shared" si="10"/>
        <v>0</v>
      </c>
      <c r="I35" s="593">
        <f t="shared" si="7"/>
        <v>406.62900000000002</v>
      </c>
      <c r="J35" s="593">
        <f>SUM(J36:J38)</f>
        <v>0</v>
      </c>
      <c r="K35" s="593">
        <f>SUM(K36:K38)</f>
        <v>0</v>
      </c>
      <c r="L35" s="593">
        <f>SUM(L36:L38)</f>
        <v>406.62900000000002</v>
      </c>
      <c r="M35" s="593">
        <f>SUM(M36:M38)</f>
        <v>0</v>
      </c>
      <c r="N35" s="593">
        <f>SUM(N36:N38)</f>
        <v>0</v>
      </c>
      <c r="O35" s="593">
        <f t="shared" si="8"/>
        <v>406.63</v>
      </c>
      <c r="P35" s="593">
        <f>SUM(P36:P38)</f>
        <v>0</v>
      </c>
      <c r="Q35" s="593">
        <f>SUM(Q36:Q38)</f>
        <v>0</v>
      </c>
      <c r="R35" s="593">
        <f>SUM(R36:R38)</f>
        <v>406.63</v>
      </c>
      <c r="S35" s="593">
        <f>SUM(S36:S38)</f>
        <v>0</v>
      </c>
      <c r="T35" s="593">
        <f>SUM(T36:T38)</f>
        <v>0</v>
      </c>
      <c r="U35" s="594">
        <f>I35/4*4</f>
        <v>406.62900000000002</v>
      </c>
      <c r="V35" s="595">
        <f>O35/U35*100</f>
        <v>100.00024592441758</v>
      </c>
      <c r="Y35" s="597">
        <f>I35-L35</f>
        <v>0</v>
      </c>
      <c r="Z35" s="597">
        <f>Y35/I35*100</f>
        <v>0</v>
      </c>
    </row>
    <row r="36" spans="1:26" ht="63" x14ac:dyDescent="0.25">
      <c r="A36" s="407"/>
      <c r="B36" s="175" t="s">
        <v>493</v>
      </c>
      <c r="C36" s="151">
        <f>SUM(D36:H36)</f>
        <v>40</v>
      </c>
      <c r="D36" s="152"/>
      <c r="E36" s="152"/>
      <c r="F36" s="176">
        <v>40</v>
      </c>
      <c r="G36" s="176"/>
      <c r="H36" s="152"/>
      <c r="I36" s="151">
        <f t="shared" si="7"/>
        <v>292.62900000000002</v>
      </c>
      <c r="J36" s="155"/>
      <c r="K36" s="155"/>
      <c r="L36" s="389">
        <v>292.62900000000002</v>
      </c>
      <c r="M36" s="155"/>
      <c r="N36" s="155"/>
      <c r="O36" s="151">
        <f t="shared" si="8"/>
        <v>292.63</v>
      </c>
      <c r="P36" s="155"/>
      <c r="Q36" s="155"/>
      <c r="R36" s="392">
        <v>292.63</v>
      </c>
      <c r="S36" s="155"/>
      <c r="T36" s="155"/>
    </row>
    <row r="37" spans="1:26" ht="31.5" x14ac:dyDescent="0.25">
      <c r="A37" s="407"/>
      <c r="B37" s="175" t="s">
        <v>494</v>
      </c>
      <c r="C37" s="151">
        <f>SUM(D37:H37)</f>
        <v>90</v>
      </c>
      <c r="D37" s="152"/>
      <c r="E37" s="152"/>
      <c r="F37" s="176">
        <v>90</v>
      </c>
      <c r="G37" s="176"/>
      <c r="H37" s="152"/>
      <c r="I37" s="151">
        <f t="shared" si="7"/>
        <v>114</v>
      </c>
      <c r="J37" s="155"/>
      <c r="K37" s="155"/>
      <c r="L37" s="392">
        <v>114</v>
      </c>
      <c r="M37" s="155"/>
      <c r="N37" s="155"/>
      <c r="O37" s="151">
        <f t="shared" si="8"/>
        <v>114</v>
      </c>
      <c r="P37" s="155"/>
      <c r="Q37" s="155"/>
      <c r="R37" s="392">
        <v>114</v>
      </c>
      <c r="S37" s="155"/>
      <c r="T37" s="155"/>
    </row>
    <row r="38" spans="1:26" ht="66" customHeight="1" x14ac:dyDescent="0.25">
      <c r="A38" s="407"/>
      <c r="B38" s="177" t="s">
        <v>495</v>
      </c>
      <c r="C38" s="151">
        <f>SUM(D38:H38)</f>
        <v>35</v>
      </c>
      <c r="D38" s="152"/>
      <c r="E38" s="152"/>
      <c r="F38" s="176">
        <v>35</v>
      </c>
      <c r="G38" s="176"/>
      <c r="H38" s="152"/>
      <c r="I38" s="151">
        <f t="shared" si="7"/>
        <v>0</v>
      </c>
      <c r="J38" s="155"/>
      <c r="K38" s="155"/>
      <c r="L38" s="392"/>
      <c r="M38" s="155"/>
      <c r="N38" s="155"/>
      <c r="O38" s="151">
        <f t="shared" si="8"/>
        <v>0</v>
      </c>
      <c r="P38" s="155"/>
      <c r="Q38" s="155"/>
      <c r="R38" s="392"/>
      <c r="S38" s="155"/>
      <c r="T38" s="155"/>
    </row>
    <row r="39" spans="1:26" s="621" customFormat="1" ht="47.25" x14ac:dyDescent="0.3">
      <c r="A39" s="616">
        <v>5</v>
      </c>
      <c r="B39" s="592" t="s">
        <v>496</v>
      </c>
      <c r="C39" s="593">
        <f>SUM(D39:H39)</f>
        <v>678</v>
      </c>
      <c r="D39" s="593">
        <v>0</v>
      </c>
      <c r="E39" s="593">
        <v>0</v>
      </c>
      <c r="F39" s="593">
        <f>SUM(F40+F44+F48+F51)</f>
        <v>678</v>
      </c>
      <c r="G39" s="593">
        <v>0</v>
      </c>
      <c r="H39" s="593">
        <v>0</v>
      </c>
      <c r="I39" s="593">
        <f t="shared" si="7"/>
        <v>673.00984000000005</v>
      </c>
      <c r="J39" s="593">
        <v>0</v>
      </c>
      <c r="K39" s="593">
        <v>0</v>
      </c>
      <c r="L39" s="593">
        <f>SUM(L40+L44+L48+L51)</f>
        <v>673.00984000000005</v>
      </c>
      <c r="M39" s="593">
        <v>0</v>
      </c>
      <c r="N39" s="593">
        <v>0</v>
      </c>
      <c r="O39" s="593">
        <f>SUM(P39:T39)</f>
        <v>607.99144000000001</v>
      </c>
      <c r="P39" s="593">
        <v>0</v>
      </c>
      <c r="Q39" s="593">
        <v>0</v>
      </c>
      <c r="R39" s="593">
        <f>SUM(R40+R44+R48+R51)</f>
        <v>607.99144000000001</v>
      </c>
      <c r="S39" s="593">
        <v>0</v>
      </c>
      <c r="T39" s="593">
        <v>0</v>
      </c>
      <c r="U39" s="619">
        <f>I39/4*4</f>
        <v>673.00984000000005</v>
      </c>
      <c r="V39" s="620">
        <f>O39/U39*100</f>
        <v>90.339160568588412</v>
      </c>
      <c r="Y39" s="622">
        <f>I39-L39</f>
        <v>0</v>
      </c>
      <c r="Z39" s="622">
        <f>Y39/I39*100</f>
        <v>0</v>
      </c>
    </row>
    <row r="40" spans="1:26" x14ac:dyDescent="0.25">
      <c r="A40" s="407"/>
      <c r="B40" s="414" t="s">
        <v>348</v>
      </c>
      <c r="C40" s="151">
        <f t="shared" ref="C40:C55" si="11">SUM(D40:H40)</f>
        <v>205</v>
      </c>
      <c r="D40" s="155"/>
      <c r="E40" s="155"/>
      <c r="F40" s="168">
        <f>SUM(F41:F43)</f>
        <v>205</v>
      </c>
      <c r="G40" s="155"/>
      <c r="H40" s="155"/>
      <c r="I40" s="151">
        <f t="shared" si="7"/>
        <v>250</v>
      </c>
      <c r="J40" s="168"/>
      <c r="K40" s="168"/>
      <c r="L40" s="168">
        <f>SUM(L42:L43)</f>
        <v>250</v>
      </c>
      <c r="M40" s="168"/>
      <c r="N40" s="168"/>
      <c r="O40" s="151">
        <f t="shared" ref="O40:O55" si="12">SUM(P40:T40)</f>
        <v>214.98063999999999</v>
      </c>
      <c r="P40" s="168"/>
      <c r="Q40" s="168"/>
      <c r="R40" s="168">
        <f>SUM(R42:R43)</f>
        <v>214.98063999999999</v>
      </c>
      <c r="S40" s="168"/>
      <c r="T40" s="168"/>
    </row>
    <row r="41" spans="1:26" ht="47.25" x14ac:dyDescent="0.25">
      <c r="A41" s="407"/>
      <c r="B41" s="153" t="s">
        <v>948</v>
      </c>
      <c r="C41" s="151"/>
      <c r="D41" s="155"/>
      <c r="E41" s="155"/>
      <c r="F41" s="152">
        <v>5</v>
      </c>
      <c r="G41" s="155"/>
      <c r="H41" s="155"/>
      <c r="I41" s="151"/>
      <c r="J41" s="168"/>
      <c r="K41" s="168"/>
      <c r="L41" s="168"/>
      <c r="M41" s="168"/>
      <c r="N41" s="168"/>
      <c r="O41" s="151"/>
      <c r="P41" s="168"/>
      <c r="Q41" s="168"/>
      <c r="R41" s="168"/>
      <c r="S41" s="168"/>
      <c r="T41" s="168"/>
    </row>
    <row r="42" spans="1:26" ht="31.5" x14ac:dyDescent="0.25">
      <c r="A42" s="407"/>
      <c r="B42" s="178" t="s">
        <v>497</v>
      </c>
      <c r="C42" s="151">
        <f t="shared" si="11"/>
        <v>200</v>
      </c>
      <c r="D42" s="154"/>
      <c r="E42" s="154"/>
      <c r="F42" s="154">
        <v>200</v>
      </c>
      <c r="G42" s="154"/>
      <c r="H42" s="154"/>
      <c r="I42" s="151">
        <f t="shared" si="7"/>
        <v>250</v>
      </c>
      <c r="J42" s="155"/>
      <c r="K42" s="155"/>
      <c r="L42" s="170">
        <v>250</v>
      </c>
      <c r="M42" s="155"/>
      <c r="N42" s="155"/>
      <c r="O42" s="151">
        <f t="shared" si="12"/>
        <v>214.98063999999999</v>
      </c>
      <c r="P42" s="155"/>
      <c r="Q42" s="155"/>
      <c r="R42" s="155">
        <v>214.98063999999999</v>
      </c>
      <c r="S42" s="155"/>
      <c r="T42" s="155"/>
    </row>
    <row r="43" spans="1:26" ht="31.5" x14ac:dyDescent="0.25">
      <c r="A43" s="407"/>
      <c r="B43" s="390" t="s">
        <v>498</v>
      </c>
      <c r="C43" s="151">
        <f t="shared" si="11"/>
        <v>0</v>
      </c>
      <c r="D43" s="154"/>
      <c r="E43" s="154"/>
      <c r="F43" s="154">
        <v>0</v>
      </c>
      <c r="G43" s="154"/>
      <c r="H43" s="154"/>
      <c r="I43" s="151">
        <f t="shared" si="7"/>
        <v>0</v>
      </c>
      <c r="J43" s="155"/>
      <c r="K43" s="155"/>
      <c r="L43" s="170">
        <v>0</v>
      </c>
      <c r="M43" s="155"/>
      <c r="N43" s="155"/>
      <c r="O43" s="151">
        <f t="shared" si="12"/>
        <v>0</v>
      </c>
      <c r="P43" s="155"/>
      <c r="Q43" s="155"/>
      <c r="R43" s="155"/>
      <c r="S43" s="155"/>
      <c r="T43" s="155"/>
    </row>
    <row r="44" spans="1:26" x14ac:dyDescent="0.25">
      <c r="A44" s="407"/>
      <c r="B44" s="167" t="s">
        <v>1405</v>
      </c>
      <c r="C44" s="151">
        <f t="shared" si="11"/>
        <v>305</v>
      </c>
      <c r="D44" s="154"/>
      <c r="E44" s="154"/>
      <c r="F44" s="152">
        <f>SUM(F45:F47)</f>
        <v>305</v>
      </c>
      <c r="G44" s="154"/>
      <c r="H44" s="154"/>
      <c r="I44" s="151">
        <f t="shared" si="7"/>
        <v>292.21080000000001</v>
      </c>
      <c r="J44" s="155"/>
      <c r="K44" s="155"/>
      <c r="L44" s="168">
        <f>SUM(L45:L47)</f>
        <v>292.21080000000001</v>
      </c>
      <c r="M44" s="155"/>
      <c r="N44" s="155"/>
      <c r="O44" s="151">
        <f t="shared" si="12"/>
        <v>262.21080000000001</v>
      </c>
      <c r="P44" s="155"/>
      <c r="Q44" s="155"/>
      <c r="R44" s="168">
        <f>SUM(R45:R47)</f>
        <v>262.21080000000001</v>
      </c>
      <c r="S44" s="155"/>
      <c r="T44" s="155"/>
    </row>
    <row r="45" spans="1:26" ht="78.75" x14ac:dyDescent="0.25">
      <c r="A45" s="407"/>
      <c r="B45" s="178" t="s">
        <v>500</v>
      </c>
      <c r="C45" s="151">
        <f t="shared" si="11"/>
        <v>80</v>
      </c>
      <c r="D45" s="154"/>
      <c r="E45" s="154"/>
      <c r="F45" s="154">
        <v>80</v>
      </c>
      <c r="G45" s="154"/>
      <c r="H45" s="154"/>
      <c r="I45" s="151">
        <f t="shared" si="7"/>
        <v>90</v>
      </c>
      <c r="J45" s="155"/>
      <c r="K45" s="155"/>
      <c r="L45" s="155">
        <v>90</v>
      </c>
      <c r="M45" s="155"/>
      <c r="N45" s="155"/>
      <c r="O45" s="151">
        <f t="shared" si="12"/>
        <v>90</v>
      </c>
      <c r="P45" s="155"/>
      <c r="Q45" s="155"/>
      <c r="R45" s="155">
        <v>90</v>
      </c>
      <c r="S45" s="155"/>
      <c r="T45" s="155"/>
    </row>
    <row r="46" spans="1:26" ht="101.25" customHeight="1" x14ac:dyDescent="0.25">
      <c r="A46" s="407"/>
      <c r="B46" s="178" t="s">
        <v>501</v>
      </c>
      <c r="C46" s="151">
        <f t="shared" si="11"/>
        <v>215</v>
      </c>
      <c r="D46" s="154"/>
      <c r="E46" s="154"/>
      <c r="F46" s="154">
        <v>215</v>
      </c>
      <c r="G46" s="154"/>
      <c r="H46" s="154"/>
      <c r="I46" s="151">
        <f t="shared" si="7"/>
        <v>202.21080000000001</v>
      </c>
      <c r="J46" s="155"/>
      <c r="K46" s="155"/>
      <c r="L46" s="155">
        <v>202.21080000000001</v>
      </c>
      <c r="M46" s="155"/>
      <c r="N46" s="155"/>
      <c r="O46" s="151">
        <f t="shared" si="12"/>
        <v>172.21080000000001</v>
      </c>
      <c r="P46" s="155"/>
      <c r="Q46" s="155"/>
      <c r="R46" s="155">
        <v>172.21080000000001</v>
      </c>
      <c r="S46" s="155"/>
      <c r="T46" s="155"/>
    </row>
    <row r="47" spans="1:26" ht="63" x14ac:dyDescent="0.25">
      <c r="A47" s="407"/>
      <c r="B47" s="153" t="s">
        <v>502</v>
      </c>
      <c r="C47" s="151">
        <f t="shared" si="11"/>
        <v>10</v>
      </c>
      <c r="D47" s="155"/>
      <c r="E47" s="155"/>
      <c r="F47" s="154">
        <v>10</v>
      </c>
      <c r="G47" s="155"/>
      <c r="H47" s="155"/>
      <c r="I47" s="151">
        <f t="shared" si="7"/>
        <v>0</v>
      </c>
      <c r="J47" s="168"/>
      <c r="K47" s="168"/>
      <c r="L47" s="168"/>
      <c r="M47" s="168"/>
      <c r="N47" s="168"/>
      <c r="O47" s="151">
        <f t="shared" si="12"/>
        <v>0</v>
      </c>
      <c r="P47" s="168"/>
      <c r="Q47" s="168"/>
      <c r="R47" s="168"/>
      <c r="S47" s="168"/>
      <c r="T47" s="168"/>
    </row>
    <row r="48" spans="1:26" ht="31.5" x14ac:dyDescent="0.25">
      <c r="A48" s="407"/>
      <c r="B48" s="414" t="s">
        <v>503</v>
      </c>
      <c r="C48" s="151">
        <f t="shared" si="11"/>
        <v>103</v>
      </c>
      <c r="D48" s="154"/>
      <c r="E48" s="154"/>
      <c r="F48" s="168">
        <f>SUM(F49:F50)</f>
        <v>103</v>
      </c>
      <c r="G48" s="154"/>
      <c r="H48" s="154"/>
      <c r="I48" s="151">
        <f t="shared" si="7"/>
        <v>30</v>
      </c>
      <c r="J48" s="155"/>
      <c r="K48" s="155"/>
      <c r="L48" s="168">
        <f>SUM(L49:L50)</f>
        <v>30</v>
      </c>
      <c r="M48" s="155"/>
      <c r="N48" s="155"/>
      <c r="O48" s="151">
        <f t="shared" si="12"/>
        <v>30</v>
      </c>
      <c r="P48" s="155"/>
      <c r="Q48" s="155"/>
      <c r="R48" s="168">
        <f>SUM(R49:R50)</f>
        <v>30</v>
      </c>
      <c r="S48" s="155"/>
      <c r="T48" s="155"/>
    </row>
    <row r="49" spans="1:26" ht="47.25" x14ac:dyDescent="0.25">
      <c r="A49" s="407"/>
      <c r="B49" s="153" t="s">
        <v>504</v>
      </c>
      <c r="C49" s="151">
        <f t="shared" si="11"/>
        <v>78</v>
      </c>
      <c r="D49" s="154"/>
      <c r="E49" s="154"/>
      <c r="F49" s="155">
        <v>78</v>
      </c>
      <c r="G49" s="154"/>
      <c r="H49" s="154"/>
      <c r="I49" s="151">
        <f t="shared" si="7"/>
        <v>5</v>
      </c>
      <c r="J49" s="155"/>
      <c r="K49" s="155"/>
      <c r="L49" s="155">
        <v>5</v>
      </c>
      <c r="M49" s="155"/>
      <c r="N49" s="155"/>
      <c r="O49" s="151">
        <f t="shared" si="12"/>
        <v>5</v>
      </c>
      <c r="P49" s="155"/>
      <c r="Q49" s="155"/>
      <c r="R49" s="155">
        <v>5</v>
      </c>
      <c r="S49" s="155"/>
      <c r="T49" s="155"/>
    </row>
    <row r="50" spans="1:26" ht="47.25" x14ac:dyDescent="0.25">
      <c r="A50" s="407"/>
      <c r="B50" s="178" t="s">
        <v>505</v>
      </c>
      <c r="C50" s="151">
        <f t="shared" si="11"/>
        <v>25</v>
      </c>
      <c r="D50" s="154"/>
      <c r="E50" s="154"/>
      <c r="F50" s="155">
        <v>25</v>
      </c>
      <c r="G50" s="154"/>
      <c r="H50" s="154"/>
      <c r="I50" s="151">
        <f t="shared" si="7"/>
        <v>25</v>
      </c>
      <c r="J50" s="155"/>
      <c r="K50" s="155"/>
      <c r="L50" s="155">
        <v>25</v>
      </c>
      <c r="M50" s="155"/>
      <c r="N50" s="155"/>
      <c r="O50" s="151">
        <f t="shared" si="12"/>
        <v>25</v>
      </c>
      <c r="P50" s="155"/>
      <c r="Q50" s="155"/>
      <c r="R50" s="155">
        <v>25</v>
      </c>
      <c r="S50" s="155"/>
      <c r="T50" s="155"/>
    </row>
    <row r="51" spans="1:26" ht="31.5" x14ac:dyDescent="0.25">
      <c r="A51" s="407"/>
      <c r="B51" s="167" t="s">
        <v>358</v>
      </c>
      <c r="C51" s="151">
        <f t="shared" si="11"/>
        <v>65</v>
      </c>
      <c r="D51" s="154"/>
      <c r="E51" s="154"/>
      <c r="F51" s="168">
        <f>SUM(F52:F54)</f>
        <v>65</v>
      </c>
      <c r="G51" s="154"/>
      <c r="H51" s="154"/>
      <c r="I51" s="151">
        <f>SUM(J51:N51)</f>
        <v>100.79904000000001</v>
      </c>
      <c r="J51" s="155"/>
      <c r="K51" s="155"/>
      <c r="L51" s="168">
        <f>SUM(L52:L55)</f>
        <v>100.79904000000001</v>
      </c>
      <c r="M51" s="155"/>
      <c r="N51" s="155"/>
      <c r="O51" s="151">
        <f t="shared" si="12"/>
        <v>100.8</v>
      </c>
      <c r="P51" s="155"/>
      <c r="Q51" s="155"/>
      <c r="R51" s="168">
        <f>SUM(R52:R55)</f>
        <v>100.8</v>
      </c>
      <c r="S51" s="155"/>
      <c r="T51" s="155"/>
    </row>
    <row r="52" spans="1:26" ht="31.5" x14ac:dyDescent="0.25">
      <c r="A52" s="407"/>
      <c r="B52" s="153" t="s">
        <v>506</v>
      </c>
      <c r="C52" s="151">
        <f t="shared" si="11"/>
        <v>0</v>
      </c>
      <c r="D52" s="155"/>
      <c r="E52" s="155"/>
      <c r="F52" s="155">
        <v>0</v>
      </c>
      <c r="G52" s="155"/>
      <c r="H52" s="155"/>
      <c r="I52" s="151">
        <f t="shared" si="7"/>
        <v>0</v>
      </c>
      <c r="J52" s="168"/>
      <c r="K52" s="168"/>
      <c r="L52" s="168"/>
      <c r="M52" s="168"/>
      <c r="N52" s="168"/>
      <c r="O52" s="151">
        <f t="shared" si="12"/>
        <v>0</v>
      </c>
      <c r="P52" s="168"/>
      <c r="Q52" s="168"/>
      <c r="R52" s="168">
        <v>0</v>
      </c>
      <c r="S52" s="168"/>
      <c r="T52" s="168"/>
    </row>
    <row r="53" spans="1:26" ht="66.75" customHeight="1" x14ac:dyDescent="0.25">
      <c r="A53" s="407"/>
      <c r="B53" s="178" t="s">
        <v>507</v>
      </c>
      <c r="C53" s="151">
        <f t="shared" si="11"/>
        <v>0</v>
      </c>
      <c r="D53" s="154"/>
      <c r="E53" s="154"/>
      <c r="F53" s="155">
        <v>0</v>
      </c>
      <c r="G53" s="154"/>
      <c r="H53" s="154"/>
      <c r="I53" s="151">
        <f t="shared" si="7"/>
        <v>0</v>
      </c>
      <c r="J53" s="155"/>
      <c r="K53" s="155"/>
      <c r="L53" s="155">
        <v>0</v>
      </c>
      <c r="M53" s="155"/>
      <c r="N53" s="155"/>
      <c r="O53" s="151">
        <f t="shared" si="12"/>
        <v>0</v>
      </c>
      <c r="P53" s="155"/>
      <c r="Q53" s="155"/>
      <c r="R53" s="155">
        <v>0</v>
      </c>
      <c r="S53" s="155"/>
      <c r="T53" s="155"/>
    </row>
    <row r="54" spans="1:26" ht="78.75" x14ac:dyDescent="0.25">
      <c r="A54" s="407"/>
      <c r="B54" s="178" t="s">
        <v>508</v>
      </c>
      <c r="C54" s="151">
        <f t="shared" si="11"/>
        <v>65</v>
      </c>
      <c r="D54" s="154"/>
      <c r="E54" s="154"/>
      <c r="F54" s="155">
        <v>65</v>
      </c>
      <c r="G54" s="154"/>
      <c r="H54" s="154"/>
      <c r="I54" s="151">
        <f t="shared" si="7"/>
        <v>35</v>
      </c>
      <c r="J54" s="155"/>
      <c r="K54" s="155"/>
      <c r="L54" s="155">
        <v>35</v>
      </c>
      <c r="M54" s="155"/>
      <c r="N54" s="155"/>
      <c r="O54" s="151">
        <f t="shared" si="12"/>
        <v>35</v>
      </c>
      <c r="P54" s="155"/>
      <c r="Q54" s="155"/>
      <c r="R54" s="155">
        <v>35</v>
      </c>
      <c r="S54" s="155"/>
      <c r="T54" s="155"/>
    </row>
    <row r="55" spans="1:26" s="323" customFormat="1" ht="47.25" x14ac:dyDescent="0.25">
      <c r="A55" s="407"/>
      <c r="B55" s="178" t="s">
        <v>1112</v>
      </c>
      <c r="C55" s="151">
        <f t="shared" si="11"/>
        <v>0</v>
      </c>
      <c r="D55" s="154"/>
      <c r="E55" s="154"/>
      <c r="F55" s="155"/>
      <c r="G55" s="154"/>
      <c r="H55" s="154"/>
      <c r="I55" s="151">
        <f t="shared" si="7"/>
        <v>65.799040000000005</v>
      </c>
      <c r="J55" s="155"/>
      <c r="K55" s="155"/>
      <c r="L55" s="155">
        <v>65.799040000000005</v>
      </c>
      <c r="M55" s="155"/>
      <c r="N55" s="155"/>
      <c r="O55" s="151">
        <f t="shared" si="12"/>
        <v>65.8</v>
      </c>
      <c r="P55" s="155"/>
      <c r="Q55" s="155"/>
      <c r="R55" s="155">
        <v>65.8</v>
      </c>
      <c r="S55" s="155"/>
      <c r="T55" s="155"/>
    </row>
    <row r="56" spans="1:26" s="596" customFormat="1" ht="47.25" x14ac:dyDescent="0.3">
      <c r="A56" s="591">
        <v>6</v>
      </c>
      <c r="B56" s="592" t="s">
        <v>509</v>
      </c>
      <c r="C56" s="593">
        <f>SUM(D56:H56)</f>
        <v>1880</v>
      </c>
      <c r="D56" s="593">
        <v>0</v>
      </c>
      <c r="E56" s="593">
        <v>0</v>
      </c>
      <c r="F56" s="593">
        <f>SUM(F57+F62)</f>
        <v>1180</v>
      </c>
      <c r="G56" s="593">
        <f>SUM(G57+G62)</f>
        <v>700</v>
      </c>
      <c r="H56" s="593">
        <v>0</v>
      </c>
      <c r="I56" s="593">
        <f>SUM(J56:N56)</f>
        <v>2756.89</v>
      </c>
      <c r="J56" s="593">
        <v>0</v>
      </c>
      <c r="K56" s="593">
        <v>0</v>
      </c>
      <c r="L56" s="593">
        <f>SUM(L57+L62)</f>
        <v>2006.8899999999999</v>
      </c>
      <c r="M56" s="593">
        <f>SUM(M57+M62)</f>
        <v>750</v>
      </c>
      <c r="N56" s="593">
        <v>0</v>
      </c>
      <c r="O56" s="593">
        <f>SUM(P56:T56)</f>
        <v>2756.895</v>
      </c>
      <c r="P56" s="593">
        <v>0</v>
      </c>
      <c r="Q56" s="593">
        <v>0</v>
      </c>
      <c r="R56" s="593">
        <f>SUM(R57+R62)</f>
        <v>2006.895</v>
      </c>
      <c r="S56" s="593">
        <f>SUM(S57+S62)</f>
        <v>750</v>
      </c>
      <c r="T56" s="593">
        <v>0</v>
      </c>
      <c r="U56" s="594">
        <f>I56/4*4</f>
        <v>2756.89</v>
      </c>
      <c r="V56" s="595">
        <f>O56/U56*100</f>
        <v>100.0001813637831</v>
      </c>
      <c r="Y56" s="597">
        <f>I56-L56</f>
        <v>750</v>
      </c>
      <c r="Z56" s="597">
        <f>Y56/I56*100</f>
        <v>27.20456746551368</v>
      </c>
    </row>
    <row r="57" spans="1:26" ht="51" customHeight="1" x14ac:dyDescent="0.25">
      <c r="A57" s="407"/>
      <c r="B57" s="180" t="s">
        <v>510</v>
      </c>
      <c r="C57" s="151">
        <f t="shared" ref="C57:C65" si="13">SUM(D57:H57)</f>
        <v>1164</v>
      </c>
      <c r="D57" s="172"/>
      <c r="E57" s="172"/>
      <c r="F57" s="172">
        <f>SUM(F58:F61)</f>
        <v>464</v>
      </c>
      <c r="G57" s="172">
        <f>SUM(G58:G61)</f>
        <v>700</v>
      </c>
      <c r="H57" s="172"/>
      <c r="I57" s="151">
        <f t="shared" ref="I57:I65" si="14">SUM(J57:N57)</f>
        <v>2178.7049999999999</v>
      </c>
      <c r="J57" s="172"/>
      <c r="K57" s="168"/>
      <c r="L57" s="172">
        <f>SUM(L58:L61)</f>
        <v>1428.7049999999999</v>
      </c>
      <c r="M57" s="172">
        <f>SUM(M58:M61)</f>
        <v>750</v>
      </c>
      <c r="N57" s="168"/>
      <c r="O57" s="151">
        <f t="shared" ref="O57:O65" si="15">SUM(P57:T57)</f>
        <v>2178.71</v>
      </c>
      <c r="P57" s="168"/>
      <c r="Q57" s="168"/>
      <c r="R57" s="172">
        <f>SUM(R58:R61)</f>
        <v>1428.71</v>
      </c>
      <c r="S57" s="172">
        <f>SUM(S58:S61)</f>
        <v>750</v>
      </c>
      <c r="T57" s="168"/>
    </row>
    <row r="58" spans="1:26" ht="31.5" x14ac:dyDescent="0.25">
      <c r="A58" s="407"/>
      <c r="B58" s="178" t="s">
        <v>511</v>
      </c>
      <c r="C58" s="151">
        <f t="shared" si="13"/>
        <v>700</v>
      </c>
      <c r="D58" s="154"/>
      <c r="E58" s="154"/>
      <c r="F58" s="170">
        <v>0</v>
      </c>
      <c r="G58" s="170">
        <v>700</v>
      </c>
      <c r="H58" s="152"/>
      <c r="I58" s="181">
        <f t="shared" si="14"/>
        <v>1500</v>
      </c>
      <c r="J58" s="155"/>
      <c r="K58" s="155"/>
      <c r="L58" s="155">
        <v>750</v>
      </c>
      <c r="M58" s="155">
        <v>750</v>
      </c>
      <c r="N58" s="155"/>
      <c r="O58" s="181">
        <f t="shared" si="15"/>
        <v>1500</v>
      </c>
      <c r="P58" s="155"/>
      <c r="Q58" s="155"/>
      <c r="R58" s="155">
        <v>750</v>
      </c>
      <c r="S58" s="155">
        <v>750</v>
      </c>
      <c r="T58" s="155"/>
    </row>
    <row r="59" spans="1:26" s="406" customFormat="1" ht="47.25" x14ac:dyDescent="0.25">
      <c r="A59" s="407"/>
      <c r="B59" s="390" t="s">
        <v>512</v>
      </c>
      <c r="C59" s="181">
        <f t="shared" si="13"/>
        <v>24</v>
      </c>
      <c r="D59" s="154"/>
      <c r="E59" s="154"/>
      <c r="F59" s="170">
        <v>24</v>
      </c>
      <c r="G59" s="154"/>
      <c r="H59" s="154"/>
      <c r="I59" s="181">
        <f t="shared" si="14"/>
        <v>26</v>
      </c>
      <c r="J59" s="155"/>
      <c r="K59" s="155"/>
      <c r="L59" s="154">
        <v>26</v>
      </c>
      <c r="M59" s="155"/>
      <c r="N59" s="155"/>
      <c r="O59" s="181">
        <f t="shared" si="15"/>
        <v>26</v>
      </c>
      <c r="P59" s="155"/>
      <c r="Q59" s="155"/>
      <c r="R59" s="154">
        <v>26</v>
      </c>
      <c r="S59" s="155"/>
      <c r="T59" s="155"/>
    </row>
    <row r="60" spans="1:26" s="406" customFormat="1" ht="70.5" customHeight="1" x14ac:dyDescent="0.25">
      <c r="A60" s="407"/>
      <c r="B60" s="390" t="s">
        <v>513</v>
      </c>
      <c r="C60" s="181">
        <f t="shared" si="13"/>
        <v>220</v>
      </c>
      <c r="D60" s="154"/>
      <c r="E60" s="154"/>
      <c r="F60" s="154">
        <v>220</v>
      </c>
      <c r="G60" s="154"/>
      <c r="H60" s="154"/>
      <c r="I60" s="181">
        <f t="shared" si="14"/>
        <v>162.096</v>
      </c>
      <c r="J60" s="155"/>
      <c r="K60" s="155"/>
      <c r="L60" s="155">
        <v>162.096</v>
      </c>
      <c r="M60" s="155"/>
      <c r="N60" s="155"/>
      <c r="O60" s="181">
        <f t="shared" si="15"/>
        <v>162.1</v>
      </c>
      <c r="P60" s="155"/>
      <c r="Q60" s="155"/>
      <c r="R60" s="155">
        <v>162.1</v>
      </c>
      <c r="S60" s="155"/>
      <c r="T60" s="155"/>
    </row>
    <row r="61" spans="1:26" s="406" customFormat="1" ht="36" customHeight="1" x14ac:dyDescent="0.25">
      <c r="A61" s="407"/>
      <c r="B61" s="390" t="s">
        <v>514</v>
      </c>
      <c r="C61" s="181">
        <f t="shared" si="13"/>
        <v>220</v>
      </c>
      <c r="D61" s="154"/>
      <c r="E61" s="154"/>
      <c r="F61" s="154">
        <v>220</v>
      </c>
      <c r="G61" s="154"/>
      <c r="H61" s="154"/>
      <c r="I61" s="181">
        <f t="shared" si="14"/>
        <v>490.60899999999998</v>
      </c>
      <c r="J61" s="155"/>
      <c r="K61" s="155"/>
      <c r="L61" s="155">
        <v>490.60899999999998</v>
      </c>
      <c r="M61" s="155"/>
      <c r="N61" s="155"/>
      <c r="O61" s="181">
        <f t="shared" si="15"/>
        <v>490.61</v>
      </c>
      <c r="P61" s="155"/>
      <c r="Q61" s="155"/>
      <c r="R61" s="155">
        <v>490.61</v>
      </c>
      <c r="S61" s="155"/>
      <c r="T61" s="155"/>
    </row>
    <row r="62" spans="1:26" x14ac:dyDescent="0.25">
      <c r="A62" s="407"/>
      <c r="B62" s="382" t="s">
        <v>515</v>
      </c>
      <c r="C62" s="151">
        <f t="shared" si="13"/>
        <v>716</v>
      </c>
      <c r="D62" s="152"/>
      <c r="E62" s="152"/>
      <c r="F62" s="152">
        <f>SUM(F63:F65)</f>
        <v>716</v>
      </c>
      <c r="G62" s="152"/>
      <c r="H62" s="152"/>
      <c r="I62" s="151">
        <f t="shared" si="14"/>
        <v>578.18499999999995</v>
      </c>
      <c r="J62" s="155"/>
      <c r="K62" s="155"/>
      <c r="L62" s="152">
        <f>SUM(L63:L65)</f>
        <v>578.18499999999995</v>
      </c>
      <c r="M62" s="155"/>
      <c r="N62" s="155"/>
      <c r="O62" s="151">
        <f t="shared" si="15"/>
        <v>578.18499999999995</v>
      </c>
      <c r="P62" s="155"/>
      <c r="Q62" s="155"/>
      <c r="R62" s="152">
        <f>SUM(R63:R65)</f>
        <v>578.18499999999995</v>
      </c>
      <c r="S62" s="155"/>
      <c r="T62" s="155"/>
    </row>
    <row r="63" spans="1:26" s="406" customFormat="1" x14ac:dyDescent="0.25">
      <c r="A63" s="407"/>
      <c r="B63" s="390" t="s">
        <v>516</v>
      </c>
      <c r="C63" s="181">
        <f t="shared" si="13"/>
        <v>150</v>
      </c>
      <c r="D63" s="154"/>
      <c r="E63" s="154"/>
      <c r="F63" s="154">
        <v>150</v>
      </c>
      <c r="G63" s="154"/>
      <c r="H63" s="154"/>
      <c r="I63" s="181">
        <f t="shared" si="14"/>
        <v>160</v>
      </c>
      <c r="J63" s="155"/>
      <c r="K63" s="155"/>
      <c r="L63" s="155">
        <v>160</v>
      </c>
      <c r="M63" s="155"/>
      <c r="N63" s="155"/>
      <c r="O63" s="181">
        <f t="shared" si="15"/>
        <v>160</v>
      </c>
      <c r="P63" s="155"/>
      <c r="Q63" s="155"/>
      <c r="R63" s="155">
        <v>160</v>
      </c>
      <c r="S63" s="155"/>
      <c r="T63" s="155"/>
    </row>
    <row r="64" spans="1:26" s="406" customFormat="1" ht="63" x14ac:dyDescent="0.25">
      <c r="A64" s="407"/>
      <c r="B64" s="390" t="s">
        <v>517</v>
      </c>
      <c r="C64" s="181">
        <f t="shared" si="13"/>
        <v>386</v>
      </c>
      <c r="D64" s="154"/>
      <c r="E64" s="154"/>
      <c r="F64" s="154">
        <v>386</v>
      </c>
      <c r="G64" s="154"/>
      <c r="H64" s="154"/>
      <c r="I64" s="181">
        <f t="shared" si="14"/>
        <v>386</v>
      </c>
      <c r="J64" s="155"/>
      <c r="K64" s="155"/>
      <c r="L64" s="155">
        <v>386</v>
      </c>
      <c r="M64" s="155"/>
      <c r="N64" s="155"/>
      <c r="O64" s="181">
        <f t="shared" si="15"/>
        <v>386</v>
      </c>
      <c r="P64" s="155"/>
      <c r="Q64" s="155"/>
      <c r="R64" s="155">
        <v>386</v>
      </c>
      <c r="S64" s="155"/>
      <c r="T64" s="155"/>
    </row>
    <row r="65" spans="1:26" s="406" customFormat="1" ht="63" customHeight="1" x14ac:dyDescent="0.25">
      <c r="A65" s="407"/>
      <c r="B65" s="390" t="s">
        <v>518</v>
      </c>
      <c r="C65" s="181">
        <f t="shared" si="13"/>
        <v>180</v>
      </c>
      <c r="D65" s="154"/>
      <c r="E65" s="154"/>
      <c r="F65" s="154">
        <v>180</v>
      </c>
      <c r="G65" s="155"/>
      <c r="H65" s="155"/>
      <c r="I65" s="181">
        <f t="shared" si="14"/>
        <v>32.185000000000002</v>
      </c>
      <c r="J65" s="155"/>
      <c r="K65" s="155"/>
      <c r="L65" s="155">
        <v>32.185000000000002</v>
      </c>
      <c r="M65" s="155"/>
      <c r="N65" s="155"/>
      <c r="O65" s="181">
        <f t="shared" si="15"/>
        <v>32.185000000000002</v>
      </c>
      <c r="P65" s="155"/>
      <c r="Q65" s="155"/>
      <c r="R65" s="182">
        <v>32.185000000000002</v>
      </c>
      <c r="S65" s="155"/>
      <c r="T65" s="155"/>
    </row>
    <row r="66" spans="1:26" s="621" customFormat="1" ht="115.5" customHeight="1" x14ac:dyDescent="0.3">
      <c r="A66" s="616">
        <v>7</v>
      </c>
      <c r="B66" s="637" t="s">
        <v>1291</v>
      </c>
      <c r="C66" s="593">
        <f>SUM(D66:H66)</f>
        <v>918.4</v>
      </c>
      <c r="D66" s="593">
        <v>0</v>
      </c>
      <c r="E66" s="593">
        <v>0</v>
      </c>
      <c r="F66" s="593">
        <f>SUM(F67+F68+F73)</f>
        <v>918.4</v>
      </c>
      <c r="G66" s="593">
        <v>0</v>
      </c>
      <c r="H66" s="593">
        <v>0</v>
      </c>
      <c r="I66" s="593">
        <f t="shared" ref="I66:I76" si="16">SUM(J66:N66)</f>
        <v>1235.4299999999998</v>
      </c>
      <c r="J66" s="593">
        <v>0</v>
      </c>
      <c r="K66" s="593">
        <f>SUM(K67+K68+K73)</f>
        <v>300</v>
      </c>
      <c r="L66" s="593">
        <f>SUM(L67+L68+L73)</f>
        <v>935.43</v>
      </c>
      <c r="M66" s="593">
        <v>0</v>
      </c>
      <c r="N66" s="593">
        <v>0</v>
      </c>
      <c r="O66" s="593">
        <f t="shared" ref="O66:O76" si="17">SUM(P66:T66)</f>
        <v>1109.529</v>
      </c>
      <c r="P66" s="593">
        <v>0</v>
      </c>
      <c r="Q66" s="593">
        <f>SUM(Q67+Q68+Q73)</f>
        <v>300</v>
      </c>
      <c r="R66" s="593">
        <f>SUM(R67+R68+R73)</f>
        <v>809.529</v>
      </c>
      <c r="S66" s="593">
        <v>0</v>
      </c>
      <c r="T66" s="593">
        <v>0</v>
      </c>
      <c r="U66" s="619">
        <f>I66/4*4</f>
        <v>1235.4299999999998</v>
      </c>
      <c r="V66" s="620">
        <f>O66/U66*100</f>
        <v>89.809135280833402</v>
      </c>
      <c r="Y66" s="622">
        <f>I66-L66</f>
        <v>299.99999999999989</v>
      </c>
      <c r="Z66" s="622">
        <f>Y66/I66*100</f>
        <v>24.283043150967671</v>
      </c>
    </row>
    <row r="67" spans="1:26" ht="18.75" x14ac:dyDescent="0.3">
      <c r="A67" s="407"/>
      <c r="B67" s="396" t="s">
        <v>519</v>
      </c>
      <c r="C67" s="151">
        <f t="shared" ref="C67:C76" si="18">SUM(D67:H67)</f>
        <v>678.4</v>
      </c>
      <c r="D67" s="168"/>
      <c r="E67" s="168"/>
      <c r="F67" s="168">
        <v>678.4</v>
      </c>
      <c r="G67" s="168"/>
      <c r="H67" s="152"/>
      <c r="I67" s="151">
        <f t="shared" si="16"/>
        <v>673.41</v>
      </c>
      <c r="J67" s="168"/>
      <c r="K67" s="183"/>
      <c r="L67" s="183">
        <v>673.41</v>
      </c>
      <c r="M67" s="168"/>
      <c r="N67" s="168"/>
      <c r="O67" s="151">
        <f t="shared" si="17"/>
        <v>577.57899999999995</v>
      </c>
      <c r="P67" s="168"/>
      <c r="Q67" s="168"/>
      <c r="R67" s="168">
        <v>577.57899999999995</v>
      </c>
      <c r="S67" s="168"/>
      <c r="T67" s="168"/>
      <c r="U67" s="248">
        <f>I67/4*4</f>
        <v>673.41</v>
      </c>
      <c r="V67" s="249">
        <f>O67/U67*100</f>
        <v>85.769293595283699</v>
      </c>
    </row>
    <row r="68" spans="1:26" s="266" customFormat="1" ht="47.25" customHeight="1" x14ac:dyDescent="0.25">
      <c r="A68" s="265"/>
      <c r="B68" s="415" t="s">
        <v>520</v>
      </c>
      <c r="C68" s="151">
        <f t="shared" si="18"/>
        <v>184.65</v>
      </c>
      <c r="D68" s="152"/>
      <c r="E68" s="152"/>
      <c r="F68" s="168">
        <f>SUM(F69)</f>
        <v>184.65</v>
      </c>
      <c r="G68" s="152"/>
      <c r="H68" s="152"/>
      <c r="I68" s="151">
        <f t="shared" si="16"/>
        <v>441.75</v>
      </c>
      <c r="J68" s="168"/>
      <c r="K68" s="168">
        <f>K69+K70</f>
        <v>300</v>
      </c>
      <c r="L68" s="168">
        <f>SUM(L69)</f>
        <v>141.75</v>
      </c>
      <c r="M68" s="168"/>
      <c r="N68" s="168"/>
      <c r="O68" s="151">
        <f t="shared" si="17"/>
        <v>441.75</v>
      </c>
      <c r="P68" s="168"/>
      <c r="Q68" s="168">
        <f>Q70</f>
        <v>300</v>
      </c>
      <c r="R68" s="168">
        <f>SUM(R69)</f>
        <v>141.75</v>
      </c>
      <c r="S68" s="168"/>
      <c r="T68" s="168"/>
    </row>
    <row r="69" spans="1:26" ht="65.25" customHeight="1" x14ac:dyDescent="0.25">
      <c r="A69" s="407"/>
      <c r="B69" s="184" t="s">
        <v>521</v>
      </c>
      <c r="C69" s="151">
        <f t="shared" si="18"/>
        <v>184.65</v>
      </c>
      <c r="D69" s="154"/>
      <c r="E69" s="154"/>
      <c r="F69" s="155">
        <f>SUM(F70:F72)</f>
        <v>184.65</v>
      </c>
      <c r="G69" s="154"/>
      <c r="H69" s="154"/>
      <c r="I69" s="151">
        <f t="shared" si="16"/>
        <v>141.75</v>
      </c>
      <c r="J69" s="155"/>
      <c r="K69" s="155"/>
      <c r="L69" s="155">
        <f>SUM(L70:L72)</f>
        <v>141.75</v>
      </c>
      <c r="M69" s="155"/>
      <c r="N69" s="155"/>
      <c r="O69" s="151">
        <f t="shared" si="17"/>
        <v>141.75</v>
      </c>
      <c r="P69" s="155"/>
      <c r="Q69" s="155"/>
      <c r="R69" s="155">
        <f>SUM(R70:R72)</f>
        <v>141.75</v>
      </c>
      <c r="S69" s="155"/>
      <c r="T69" s="155"/>
    </row>
    <row r="70" spans="1:26" ht="81" customHeight="1" x14ac:dyDescent="0.25">
      <c r="A70" s="407"/>
      <c r="B70" s="185" t="s">
        <v>522</v>
      </c>
      <c r="C70" s="151">
        <f t="shared" si="18"/>
        <v>120</v>
      </c>
      <c r="D70" s="154"/>
      <c r="E70" s="154"/>
      <c r="F70" s="155">
        <v>120</v>
      </c>
      <c r="G70" s="154"/>
      <c r="H70" s="154"/>
      <c r="I70" s="151">
        <f t="shared" si="16"/>
        <v>420</v>
      </c>
      <c r="J70" s="155"/>
      <c r="K70" s="155">
        <v>300</v>
      </c>
      <c r="L70" s="186">
        <v>120</v>
      </c>
      <c r="M70" s="155"/>
      <c r="N70" s="155"/>
      <c r="O70" s="151">
        <f t="shared" si="17"/>
        <v>420</v>
      </c>
      <c r="P70" s="155"/>
      <c r="Q70" s="155">
        <v>300</v>
      </c>
      <c r="R70" s="155">
        <v>120</v>
      </c>
      <c r="S70" s="155"/>
      <c r="T70" s="155"/>
    </row>
    <row r="71" spans="1:26" ht="15.75" customHeight="1" x14ac:dyDescent="0.25">
      <c r="A71" s="407"/>
      <c r="B71" s="187" t="s">
        <v>523</v>
      </c>
      <c r="C71" s="151">
        <f t="shared" si="18"/>
        <v>22</v>
      </c>
      <c r="D71" s="154"/>
      <c r="E71" s="154"/>
      <c r="F71" s="155">
        <v>22</v>
      </c>
      <c r="G71" s="154"/>
      <c r="H71" s="154"/>
      <c r="I71" s="151">
        <f t="shared" si="16"/>
        <v>0</v>
      </c>
      <c r="J71" s="155"/>
      <c r="K71" s="155"/>
      <c r="L71" s="186">
        <v>0</v>
      </c>
      <c r="M71" s="155"/>
      <c r="N71" s="155"/>
      <c r="O71" s="151">
        <f t="shared" si="17"/>
        <v>0</v>
      </c>
      <c r="P71" s="155"/>
      <c r="Q71" s="155"/>
      <c r="R71" s="155">
        <v>0</v>
      </c>
      <c r="S71" s="155"/>
      <c r="T71" s="155"/>
    </row>
    <row r="72" spans="1:26" ht="30.75" customHeight="1" x14ac:dyDescent="0.25">
      <c r="A72" s="407"/>
      <c r="B72" s="185" t="s">
        <v>524</v>
      </c>
      <c r="C72" s="151">
        <f t="shared" si="18"/>
        <v>42.65</v>
      </c>
      <c r="D72" s="154"/>
      <c r="E72" s="154"/>
      <c r="F72" s="155">
        <v>42.65</v>
      </c>
      <c r="G72" s="154"/>
      <c r="H72" s="154"/>
      <c r="I72" s="151">
        <f t="shared" si="16"/>
        <v>21.75</v>
      </c>
      <c r="J72" s="155"/>
      <c r="K72" s="155"/>
      <c r="L72" s="186">
        <v>21.75</v>
      </c>
      <c r="M72" s="155"/>
      <c r="N72" s="155"/>
      <c r="O72" s="151">
        <f t="shared" si="17"/>
        <v>21.75</v>
      </c>
      <c r="P72" s="155"/>
      <c r="Q72" s="155"/>
      <c r="R72" s="155">
        <v>21.75</v>
      </c>
      <c r="S72" s="155"/>
      <c r="T72" s="155"/>
    </row>
    <row r="73" spans="1:26" ht="63" x14ac:dyDescent="0.25">
      <c r="A73" s="407"/>
      <c r="B73" s="415" t="s">
        <v>525</v>
      </c>
      <c r="C73" s="151">
        <f t="shared" si="18"/>
        <v>55.35</v>
      </c>
      <c r="D73" s="168"/>
      <c r="E73" s="168"/>
      <c r="F73" s="168">
        <f>SUM(F74)</f>
        <v>55.35</v>
      </c>
      <c r="G73" s="168"/>
      <c r="H73" s="152"/>
      <c r="I73" s="151">
        <f t="shared" si="16"/>
        <v>120.27</v>
      </c>
      <c r="J73" s="168"/>
      <c r="K73" s="168"/>
      <c r="L73" s="168">
        <f>SUM(L74)</f>
        <v>120.27</v>
      </c>
      <c r="M73" s="168"/>
      <c r="N73" s="168"/>
      <c r="O73" s="151">
        <f t="shared" si="17"/>
        <v>90.2</v>
      </c>
      <c r="P73" s="168"/>
      <c r="Q73" s="168"/>
      <c r="R73" s="168">
        <f>SUM(R74)</f>
        <v>90.2</v>
      </c>
      <c r="S73" s="168"/>
      <c r="T73" s="168"/>
    </row>
    <row r="74" spans="1:26" ht="83.25" customHeight="1" x14ac:dyDescent="0.25">
      <c r="A74" s="407"/>
      <c r="B74" s="188" t="s">
        <v>526</v>
      </c>
      <c r="C74" s="151">
        <f t="shared" si="18"/>
        <v>55.35</v>
      </c>
      <c r="D74" s="154"/>
      <c r="E74" s="154"/>
      <c r="F74" s="155">
        <f>SUM(F75:F76)</f>
        <v>55.35</v>
      </c>
      <c r="G74" s="154"/>
      <c r="H74" s="152"/>
      <c r="I74" s="151">
        <f>SUM(J74:N74)</f>
        <v>120.27</v>
      </c>
      <c r="J74" s="155"/>
      <c r="K74" s="155"/>
      <c r="L74" s="155">
        <f>SUM(L75:L76)+9.02</f>
        <v>120.27</v>
      </c>
      <c r="M74" s="155"/>
      <c r="N74" s="155"/>
      <c r="O74" s="151">
        <f t="shared" si="17"/>
        <v>90.2</v>
      </c>
      <c r="P74" s="186"/>
      <c r="Q74" s="155"/>
      <c r="R74" s="155">
        <f>SUM(R75:R76)+9.02</f>
        <v>90.2</v>
      </c>
      <c r="S74" s="186"/>
      <c r="T74" s="186"/>
    </row>
    <row r="75" spans="1:26" ht="36" customHeight="1" x14ac:dyDescent="0.25">
      <c r="A75" s="407"/>
      <c r="B75" s="187" t="s">
        <v>527</v>
      </c>
      <c r="C75" s="151">
        <f t="shared" si="18"/>
        <v>40.35</v>
      </c>
      <c r="D75" s="154"/>
      <c r="E75" s="154"/>
      <c r="F75" s="155">
        <v>40.35</v>
      </c>
      <c r="G75" s="154"/>
      <c r="H75" s="152"/>
      <c r="I75" s="151">
        <f t="shared" si="16"/>
        <v>45.38</v>
      </c>
      <c r="J75" s="155"/>
      <c r="K75" s="155"/>
      <c r="L75" s="186">
        <v>45.38</v>
      </c>
      <c r="M75" s="155"/>
      <c r="N75" s="155"/>
      <c r="O75" s="151">
        <f t="shared" si="17"/>
        <v>45.38</v>
      </c>
      <c r="P75" s="186"/>
      <c r="Q75" s="155"/>
      <c r="R75" s="155">
        <v>45.38</v>
      </c>
      <c r="S75" s="186"/>
      <c r="T75" s="186"/>
    </row>
    <row r="76" spans="1:26" ht="33.75" customHeight="1" x14ac:dyDescent="0.25">
      <c r="A76" s="407"/>
      <c r="B76" s="187" t="s">
        <v>528</v>
      </c>
      <c r="C76" s="151">
        <f t="shared" si="18"/>
        <v>15</v>
      </c>
      <c r="D76" s="154"/>
      <c r="E76" s="154"/>
      <c r="F76" s="155">
        <v>15</v>
      </c>
      <c r="G76" s="154"/>
      <c r="H76" s="152"/>
      <c r="I76" s="151">
        <f t="shared" si="16"/>
        <v>65.87</v>
      </c>
      <c r="J76" s="155"/>
      <c r="K76" s="155"/>
      <c r="L76" s="186">
        <v>65.87</v>
      </c>
      <c r="M76" s="155"/>
      <c r="N76" s="155"/>
      <c r="O76" s="151">
        <f t="shared" si="17"/>
        <v>35.799999999999997</v>
      </c>
      <c r="P76" s="186"/>
      <c r="Q76" s="155"/>
      <c r="R76" s="155">
        <v>35.799999999999997</v>
      </c>
      <c r="S76" s="186"/>
      <c r="T76" s="186"/>
    </row>
    <row r="77" spans="1:26" s="596" customFormat="1" ht="78.75" x14ac:dyDescent="0.3">
      <c r="A77" s="591">
        <v>8</v>
      </c>
      <c r="B77" s="592" t="s">
        <v>1294</v>
      </c>
      <c r="C77" s="593">
        <f>C78+C80</f>
        <v>350</v>
      </c>
      <c r="D77" s="593">
        <v>0</v>
      </c>
      <c r="E77" s="593">
        <v>0</v>
      </c>
      <c r="F77" s="593">
        <f>SUM(F78+F80)</f>
        <v>350</v>
      </c>
      <c r="G77" s="593">
        <v>0</v>
      </c>
      <c r="H77" s="593">
        <v>0</v>
      </c>
      <c r="I77" s="593">
        <f t="shared" ref="I77:I111" si="19">SUM(J77:N77)</f>
        <v>583.33299999999997</v>
      </c>
      <c r="J77" s="593">
        <v>0</v>
      </c>
      <c r="K77" s="593">
        <f>SUM(K78+K80)</f>
        <v>233.333</v>
      </c>
      <c r="L77" s="593">
        <f>SUM(L78+L80)</f>
        <v>350</v>
      </c>
      <c r="M77" s="593">
        <v>0</v>
      </c>
      <c r="N77" s="593">
        <v>0</v>
      </c>
      <c r="O77" s="593">
        <f>SUM(P77:T77)</f>
        <v>583.33000000000004</v>
      </c>
      <c r="P77" s="593">
        <v>0</v>
      </c>
      <c r="Q77" s="593">
        <f>SUM(Q78+Q80)</f>
        <v>233.33</v>
      </c>
      <c r="R77" s="593">
        <f>SUM(R78+R80)</f>
        <v>350</v>
      </c>
      <c r="S77" s="593">
        <v>0</v>
      </c>
      <c r="T77" s="593">
        <v>0</v>
      </c>
      <c r="U77" s="594">
        <f>I77/4*4</f>
        <v>583.33299999999997</v>
      </c>
      <c r="V77" s="595">
        <f>O77/U77*100</f>
        <v>99.999485713991859</v>
      </c>
      <c r="Y77" s="597">
        <f>I77-L77</f>
        <v>233.33299999999997</v>
      </c>
      <c r="Z77" s="597">
        <f>Y77/I77*100</f>
        <v>39.999965714266118</v>
      </c>
    </row>
    <row r="78" spans="1:26" s="266" customFormat="1" ht="63" x14ac:dyDescent="0.25">
      <c r="A78" s="265"/>
      <c r="B78" s="414" t="s">
        <v>529</v>
      </c>
      <c r="C78" s="151">
        <f>SUM(D78:H78)</f>
        <v>100</v>
      </c>
      <c r="D78" s="168"/>
      <c r="E78" s="168"/>
      <c r="F78" s="168">
        <f>SUM(F79)</f>
        <v>100</v>
      </c>
      <c r="G78" s="168"/>
      <c r="H78" s="168"/>
      <c r="I78" s="151">
        <f t="shared" si="19"/>
        <v>323.33299999999997</v>
      </c>
      <c r="J78" s="168"/>
      <c r="K78" s="168">
        <f>SUM(K79)</f>
        <v>233.333</v>
      </c>
      <c r="L78" s="168">
        <f>L79</f>
        <v>90</v>
      </c>
      <c r="M78" s="168"/>
      <c r="N78" s="168"/>
      <c r="O78" s="151">
        <f t="shared" ref="O78:O90" si="20">SUM(P78:T78)</f>
        <v>323.33000000000004</v>
      </c>
      <c r="P78" s="168"/>
      <c r="Q78" s="168">
        <f>SUM(Q79)</f>
        <v>233.33</v>
      </c>
      <c r="R78" s="168">
        <f>R79</f>
        <v>90</v>
      </c>
      <c r="S78" s="168"/>
      <c r="T78" s="168"/>
    </row>
    <row r="79" spans="1:26" ht="94.5" x14ac:dyDescent="0.25">
      <c r="A79" s="407"/>
      <c r="B79" s="390" t="s">
        <v>530</v>
      </c>
      <c r="C79" s="151">
        <f>SUM(D79:H79)</f>
        <v>100</v>
      </c>
      <c r="D79" s="155"/>
      <c r="E79" s="155"/>
      <c r="F79" s="155">
        <v>100</v>
      </c>
      <c r="G79" s="155"/>
      <c r="H79" s="155"/>
      <c r="I79" s="151">
        <f t="shared" si="19"/>
        <v>323.33299999999997</v>
      </c>
      <c r="J79" s="155"/>
      <c r="K79" s="155">
        <v>233.333</v>
      </c>
      <c r="L79" s="155">
        <v>90</v>
      </c>
      <c r="M79" s="155"/>
      <c r="N79" s="155"/>
      <c r="O79" s="151">
        <f>SUM(P79:T79)</f>
        <v>323.33000000000004</v>
      </c>
      <c r="P79" s="155"/>
      <c r="Q79" s="155">
        <v>233.33</v>
      </c>
      <c r="R79" s="155">
        <v>90</v>
      </c>
      <c r="S79" s="155"/>
      <c r="T79" s="155"/>
    </row>
    <row r="80" spans="1:26" s="266" customFormat="1" ht="31.5" x14ac:dyDescent="0.25">
      <c r="A80" s="265"/>
      <c r="B80" s="414" t="s">
        <v>531</v>
      </c>
      <c r="C80" s="151">
        <f>SUM(D80:H80)</f>
        <v>250</v>
      </c>
      <c r="D80" s="168"/>
      <c r="E80" s="168"/>
      <c r="F80" s="168">
        <f>SUM(F81)</f>
        <v>250</v>
      </c>
      <c r="G80" s="168"/>
      <c r="H80" s="168"/>
      <c r="I80" s="151">
        <f t="shared" si="19"/>
        <v>260</v>
      </c>
      <c r="J80" s="168"/>
      <c r="K80" s="168"/>
      <c r="L80" s="168">
        <f>SUM(L81)</f>
        <v>260</v>
      </c>
      <c r="M80" s="168"/>
      <c r="N80" s="168"/>
      <c r="O80" s="151">
        <f t="shared" si="20"/>
        <v>260</v>
      </c>
      <c r="P80" s="168"/>
      <c r="Q80" s="168"/>
      <c r="R80" s="168">
        <f>SUM(R81)</f>
        <v>260</v>
      </c>
      <c r="S80" s="168"/>
      <c r="T80" s="168"/>
    </row>
    <row r="81" spans="1:26" ht="99.75" customHeight="1" x14ac:dyDescent="0.25">
      <c r="A81" s="407"/>
      <c r="B81" s="178" t="s">
        <v>530</v>
      </c>
      <c r="C81" s="151">
        <f>SUM(D81:H81)</f>
        <v>250</v>
      </c>
      <c r="D81" s="155"/>
      <c r="E81" s="155"/>
      <c r="F81" s="155">
        <v>250</v>
      </c>
      <c r="G81" s="155"/>
      <c r="H81" s="155"/>
      <c r="I81" s="151">
        <f t="shared" si="19"/>
        <v>260</v>
      </c>
      <c r="J81" s="155"/>
      <c r="K81" s="155"/>
      <c r="L81" s="155">
        <v>260</v>
      </c>
      <c r="M81" s="155"/>
      <c r="N81" s="155"/>
      <c r="O81" s="151">
        <f t="shared" si="20"/>
        <v>260</v>
      </c>
      <c r="P81" s="155"/>
      <c r="Q81" s="155"/>
      <c r="R81" s="155">
        <v>260</v>
      </c>
      <c r="S81" s="155"/>
      <c r="T81" s="155"/>
    </row>
    <row r="82" spans="1:26" s="596" customFormat="1" ht="47.25" x14ac:dyDescent="0.3">
      <c r="A82" s="591">
        <v>9</v>
      </c>
      <c r="B82" s="592" t="s">
        <v>781</v>
      </c>
      <c r="C82" s="634">
        <f>SUM(D82:H82)</f>
        <v>605</v>
      </c>
      <c r="D82" s="593">
        <v>0</v>
      </c>
      <c r="E82" s="593">
        <v>0</v>
      </c>
      <c r="F82" s="593">
        <f>SUM(F83+F88)</f>
        <v>605</v>
      </c>
      <c r="G82" s="593">
        <v>0</v>
      </c>
      <c r="H82" s="593">
        <v>0</v>
      </c>
      <c r="I82" s="593">
        <f t="shared" si="19"/>
        <v>703.53300000000002</v>
      </c>
      <c r="J82" s="593">
        <v>0</v>
      </c>
      <c r="K82" s="593">
        <f>SUM(K83+K88)</f>
        <v>143.53299999999999</v>
      </c>
      <c r="L82" s="593">
        <f>SUM(L83+L88)</f>
        <v>560</v>
      </c>
      <c r="M82" s="593">
        <v>0</v>
      </c>
      <c r="N82" s="593">
        <v>0</v>
      </c>
      <c r="O82" s="593">
        <f t="shared" si="20"/>
        <v>699.05700000000002</v>
      </c>
      <c r="P82" s="634">
        <v>0</v>
      </c>
      <c r="Q82" s="593">
        <f>SUM(Q83+Q88)</f>
        <v>143.53</v>
      </c>
      <c r="R82" s="593">
        <f>SUM(R83+R88)</f>
        <v>555.52700000000004</v>
      </c>
      <c r="S82" s="634">
        <v>0</v>
      </c>
      <c r="T82" s="638">
        <v>0</v>
      </c>
      <c r="U82" s="594">
        <f>I82/4*4</f>
        <v>703.53300000000002</v>
      </c>
      <c r="V82" s="595">
        <f>O82/U82*100</f>
        <v>99.36378250913603</v>
      </c>
      <c r="Y82" s="597">
        <f>I82-L82</f>
        <v>143.53300000000002</v>
      </c>
      <c r="Z82" s="597">
        <f>Y82/I82*100</f>
        <v>20.401743770370402</v>
      </c>
    </row>
    <row r="83" spans="1:26" ht="66.75" customHeight="1" x14ac:dyDescent="0.25">
      <c r="A83" s="407"/>
      <c r="B83" s="189" t="s">
        <v>176</v>
      </c>
      <c r="C83" s="157">
        <f t="shared" ref="C83:C90" si="21">SUM(D83:H83)</f>
        <v>525</v>
      </c>
      <c r="D83" s="155"/>
      <c r="E83" s="155"/>
      <c r="F83" s="168">
        <f>SUM(F84:F87)</f>
        <v>525</v>
      </c>
      <c r="G83" s="155"/>
      <c r="H83" s="155"/>
      <c r="I83" s="151">
        <f t="shared" si="19"/>
        <v>470</v>
      </c>
      <c r="J83" s="155"/>
      <c r="K83" s="155"/>
      <c r="L83" s="168">
        <f>SUM(L84:L87)</f>
        <v>470</v>
      </c>
      <c r="M83" s="155"/>
      <c r="N83" s="155"/>
      <c r="O83" s="151">
        <f t="shared" si="20"/>
        <v>465.52699999999999</v>
      </c>
      <c r="P83" s="155"/>
      <c r="Q83" s="155"/>
      <c r="R83" s="168">
        <f>SUM(R84:R87)</f>
        <v>465.52699999999999</v>
      </c>
      <c r="S83" s="155"/>
      <c r="T83" s="155"/>
    </row>
    <row r="84" spans="1:26" s="406" customFormat="1" ht="33" customHeight="1" x14ac:dyDescent="0.25">
      <c r="A84" s="407"/>
      <c r="B84" s="416" t="s">
        <v>532</v>
      </c>
      <c r="C84" s="438">
        <f t="shared" si="21"/>
        <v>450</v>
      </c>
      <c r="D84" s="155"/>
      <c r="E84" s="155"/>
      <c r="F84" s="155">
        <v>450</v>
      </c>
      <c r="G84" s="155"/>
      <c r="H84" s="155"/>
      <c r="I84" s="181">
        <f t="shared" si="19"/>
        <v>450</v>
      </c>
      <c r="J84" s="155"/>
      <c r="K84" s="155"/>
      <c r="L84" s="155">
        <v>450</v>
      </c>
      <c r="M84" s="155"/>
      <c r="N84" s="155"/>
      <c r="O84" s="181">
        <f t="shared" si="20"/>
        <v>450</v>
      </c>
      <c r="P84" s="155"/>
      <c r="Q84" s="155"/>
      <c r="R84" s="155">
        <v>450</v>
      </c>
      <c r="S84" s="155"/>
      <c r="T84" s="155"/>
    </row>
    <row r="85" spans="1:26" s="406" customFormat="1" ht="115.5" customHeight="1" x14ac:dyDescent="0.25">
      <c r="A85" s="407"/>
      <c r="B85" s="416" t="s">
        <v>533</v>
      </c>
      <c r="C85" s="438">
        <f t="shared" si="21"/>
        <v>10</v>
      </c>
      <c r="D85" s="155"/>
      <c r="E85" s="155"/>
      <c r="F85" s="155">
        <v>10</v>
      </c>
      <c r="G85" s="155"/>
      <c r="H85" s="155"/>
      <c r="I85" s="181">
        <f t="shared" si="19"/>
        <v>0</v>
      </c>
      <c r="J85" s="155"/>
      <c r="K85" s="155"/>
      <c r="L85" s="155"/>
      <c r="M85" s="155"/>
      <c r="N85" s="155"/>
      <c r="O85" s="181">
        <f t="shared" si="20"/>
        <v>0</v>
      </c>
      <c r="P85" s="155"/>
      <c r="Q85" s="155"/>
      <c r="R85" s="155"/>
      <c r="S85" s="155"/>
      <c r="T85" s="155"/>
    </row>
    <row r="86" spans="1:26" s="406" customFormat="1" ht="66" customHeight="1" x14ac:dyDescent="0.25">
      <c r="A86" s="407"/>
      <c r="B86" s="416" t="s">
        <v>534</v>
      </c>
      <c r="C86" s="438">
        <f t="shared" si="21"/>
        <v>20</v>
      </c>
      <c r="D86" s="155"/>
      <c r="E86" s="155"/>
      <c r="F86" s="155">
        <v>20</v>
      </c>
      <c r="G86" s="155"/>
      <c r="H86" s="155"/>
      <c r="I86" s="181">
        <f t="shared" si="19"/>
        <v>20</v>
      </c>
      <c r="J86" s="155"/>
      <c r="K86" s="155"/>
      <c r="L86" s="155">
        <v>20</v>
      </c>
      <c r="M86" s="155"/>
      <c r="N86" s="155"/>
      <c r="O86" s="181">
        <f t="shared" si="20"/>
        <v>15.526999999999999</v>
      </c>
      <c r="P86" s="155"/>
      <c r="Q86" s="155"/>
      <c r="R86" s="155">
        <v>15.526999999999999</v>
      </c>
      <c r="S86" s="155"/>
      <c r="T86" s="155"/>
    </row>
    <row r="87" spans="1:26" s="406" customFormat="1" ht="50.25" customHeight="1" x14ac:dyDescent="0.25">
      <c r="A87" s="407"/>
      <c r="B87" s="416" t="s">
        <v>535</v>
      </c>
      <c r="C87" s="438">
        <f t="shared" si="21"/>
        <v>45</v>
      </c>
      <c r="D87" s="155"/>
      <c r="E87" s="155"/>
      <c r="F87" s="155">
        <v>45</v>
      </c>
      <c r="G87" s="155"/>
      <c r="H87" s="155"/>
      <c r="I87" s="181">
        <f t="shared" si="19"/>
        <v>0</v>
      </c>
      <c r="J87" s="155"/>
      <c r="K87" s="155"/>
      <c r="L87" s="155"/>
      <c r="M87" s="155"/>
      <c r="N87" s="155"/>
      <c r="O87" s="181">
        <f t="shared" si="20"/>
        <v>0</v>
      </c>
      <c r="P87" s="155"/>
      <c r="Q87" s="155"/>
      <c r="R87" s="155"/>
      <c r="S87" s="155"/>
      <c r="T87" s="155"/>
    </row>
    <row r="88" spans="1:26" ht="31.5" x14ac:dyDescent="0.25">
      <c r="A88" s="407"/>
      <c r="B88" s="189" t="s">
        <v>179</v>
      </c>
      <c r="C88" s="157">
        <f t="shared" si="21"/>
        <v>80</v>
      </c>
      <c r="D88" s="155"/>
      <c r="E88" s="155"/>
      <c r="F88" s="168">
        <f>SUM(F89:F90)</f>
        <v>80</v>
      </c>
      <c r="G88" s="155"/>
      <c r="H88" s="155"/>
      <c r="I88" s="151">
        <f t="shared" si="19"/>
        <v>233.53299999999999</v>
      </c>
      <c r="J88" s="155"/>
      <c r="K88" s="168">
        <f>SUM(K89:K90)</f>
        <v>143.53299999999999</v>
      </c>
      <c r="L88" s="168">
        <f>SUM(L89:L90)</f>
        <v>90</v>
      </c>
      <c r="M88" s="155"/>
      <c r="N88" s="155"/>
      <c r="O88" s="151">
        <f t="shared" si="20"/>
        <v>233.53</v>
      </c>
      <c r="P88" s="155"/>
      <c r="Q88" s="168">
        <f>SUM(Q89:Q90)</f>
        <v>143.53</v>
      </c>
      <c r="R88" s="168">
        <f>SUM(R89:R90)</f>
        <v>90</v>
      </c>
      <c r="S88" s="155"/>
      <c r="T88" s="155"/>
    </row>
    <row r="89" spans="1:26" ht="84" customHeight="1" x14ac:dyDescent="0.25">
      <c r="A89" s="407"/>
      <c r="B89" s="416" t="s">
        <v>536</v>
      </c>
      <c r="C89" s="157">
        <f t="shared" si="21"/>
        <v>50</v>
      </c>
      <c r="D89" s="168"/>
      <c r="E89" s="168"/>
      <c r="F89" s="155">
        <v>50</v>
      </c>
      <c r="G89" s="168"/>
      <c r="H89" s="168"/>
      <c r="I89" s="151">
        <f t="shared" si="19"/>
        <v>75</v>
      </c>
      <c r="J89" s="155"/>
      <c r="K89" s="155"/>
      <c r="L89" s="155">
        <v>75</v>
      </c>
      <c r="M89" s="155"/>
      <c r="N89" s="155"/>
      <c r="O89" s="151">
        <f t="shared" si="20"/>
        <v>75</v>
      </c>
      <c r="P89" s="155"/>
      <c r="Q89" s="155"/>
      <c r="R89" s="155">
        <v>75</v>
      </c>
      <c r="S89" s="155"/>
      <c r="T89" s="155"/>
    </row>
    <row r="90" spans="1:26" ht="47.25" x14ac:dyDescent="0.25">
      <c r="A90" s="407"/>
      <c r="B90" s="416" t="s">
        <v>537</v>
      </c>
      <c r="C90" s="157">
        <f t="shared" si="21"/>
        <v>30</v>
      </c>
      <c r="D90" s="168"/>
      <c r="E90" s="168"/>
      <c r="F90" s="155">
        <v>30</v>
      </c>
      <c r="G90" s="168"/>
      <c r="H90" s="168"/>
      <c r="I90" s="151">
        <f t="shared" si="19"/>
        <v>158.53299999999999</v>
      </c>
      <c r="J90" s="155"/>
      <c r="K90" s="155">
        <v>143.53299999999999</v>
      </c>
      <c r="L90" s="155">
        <v>15</v>
      </c>
      <c r="M90" s="155"/>
      <c r="N90" s="155"/>
      <c r="O90" s="151">
        <f t="shared" si="20"/>
        <v>158.53</v>
      </c>
      <c r="P90" s="155"/>
      <c r="Q90" s="155">
        <v>143.53</v>
      </c>
      <c r="R90" s="155">
        <v>15</v>
      </c>
      <c r="S90" s="155"/>
      <c r="T90" s="155"/>
    </row>
    <row r="91" spans="1:26" s="596" customFormat="1" ht="63" x14ac:dyDescent="0.3">
      <c r="A91" s="591">
        <v>10</v>
      </c>
      <c r="B91" s="639" t="s">
        <v>1300</v>
      </c>
      <c r="C91" s="593">
        <f>SUM(D91:H91)</f>
        <v>1872.3999999999999</v>
      </c>
      <c r="D91" s="634">
        <v>0</v>
      </c>
      <c r="E91" s="634">
        <v>0</v>
      </c>
      <c r="F91" s="634">
        <f>SUM(F92+F97)</f>
        <v>1872.3999999999999</v>
      </c>
      <c r="G91" s="634">
        <v>0</v>
      </c>
      <c r="H91" s="634">
        <v>0</v>
      </c>
      <c r="I91" s="593">
        <f t="shared" si="19"/>
        <v>1887.0549999999998</v>
      </c>
      <c r="J91" s="634">
        <v>0</v>
      </c>
      <c r="K91" s="634">
        <v>0</v>
      </c>
      <c r="L91" s="634">
        <f>SUM(L92+L97)</f>
        <v>1887.0549999999998</v>
      </c>
      <c r="M91" s="634">
        <v>0</v>
      </c>
      <c r="N91" s="634">
        <v>0</v>
      </c>
      <c r="O91" s="593">
        <f>SUM(P91:T91)</f>
        <v>1798.1916799999999</v>
      </c>
      <c r="P91" s="634">
        <v>0</v>
      </c>
      <c r="Q91" s="634">
        <v>0</v>
      </c>
      <c r="R91" s="634">
        <f>SUM(R92+R97)</f>
        <v>1798.1916799999999</v>
      </c>
      <c r="S91" s="634">
        <v>0</v>
      </c>
      <c r="T91" s="634">
        <v>0</v>
      </c>
      <c r="U91" s="594">
        <f>I91/4*4</f>
        <v>1887.0549999999998</v>
      </c>
      <c r="V91" s="595">
        <f>O91/U91*100</f>
        <v>95.290899311360832</v>
      </c>
      <c r="Y91" s="597">
        <f>I91-L91</f>
        <v>0</v>
      </c>
      <c r="Z91" s="597">
        <f>Y91/I91*100</f>
        <v>0</v>
      </c>
    </row>
    <row r="92" spans="1:26" ht="198.75" customHeight="1" x14ac:dyDescent="0.25">
      <c r="A92" s="407"/>
      <c r="B92" s="382" t="s">
        <v>538</v>
      </c>
      <c r="C92" s="151">
        <f t="shared" ref="C92:C106" si="22">SUM(D92:H92)</f>
        <v>836.8</v>
      </c>
      <c r="D92" s="190"/>
      <c r="E92" s="190"/>
      <c r="F92" s="190">
        <f>SUM(F93:F96)</f>
        <v>836.8</v>
      </c>
      <c r="G92" s="190"/>
      <c r="H92" s="190"/>
      <c r="I92" s="151">
        <f t="shared" si="19"/>
        <v>835.82999999999993</v>
      </c>
      <c r="J92" s="190"/>
      <c r="K92" s="190"/>
      <c r="L92" s="190">
        <f>SUM(L93:L96)</f>
        <v>835.82999999999993</v>
      </c>
      <c r="M92" s="190"/>
      <c r="N92" s="190"/>
      <c r="O92" s="151">
        <f t="shared" ref="O92:O106" si="23">SUM(P92:T92)</f>
        <v>746.96168</v>
      </c>
      <c r="P92" s="190">
        <v>0</v>
      </c>
      <c r="Q92" s="190"/>
      <c r="R92" s="190">
        <f>SUM(R93:R96)</f>
        <v>746.96168</v>
      </c>
      <c r="S92" s="190">
        <v>0</v>
      </c>
      <c r="T92" s="155"/>
    </row>
    <row r="93" spans="1:26" x14ac:dyDescent="0.25">
      <c r="A93" s="407"/>
      <c r="B93" s="178" t="s">
        <v>539</v>
      </c>
      <c r="C93" s="151">
        <f t="shared" si="22"/>
        <v>678.4</v>
      </c>
      <c r="D93" s="176"/>
      <c r="E93" s="176"/>
      <c r="F93" s="389">
        <v>678.4</v>
      </c>
      <c r="G93" s="176"/>
      <c r="H93" s="176"/>
      <c r="I93" s="151">
        <f t="shared" si="19"/>
        <v>678.41</v>
      </c>
      <c r="J93" s="176"/>
      <c r="K93" s="176"/>
      <c r="L93" s="176">
        <v>678.41</v>
      </c>
      <c r="M93" s="176"/>
      <c r="N93" s="176"/>
      <c r="O93" s="151">
        <f t="shared" si="23"/>
        <v>589.54168000000004</v>
      </c>
      <c r="P93" s="176"/>
      <c r="Q93" s="176"/>
      <c r="R93" s="176">
        <v>589.54168000000004</v>
      </c>
      <c r="S93" s="176"/>
      <c r="T93" s="155"/>
    </row>
    <row r="94" spans="1:26" ht="54" customHeight="1" x14ac:dyDescent="0.25">
      <c r="A94" s="407"/>
      <c r="B94" s="178" t="s">
        <v>540</v>
      </c>
      <c r="C94" s="151">
        <f t="shared" si="22"/>
        <v>133.4</v>
      </c>
      <c r="D94" s="176"/>
      <c r="E94" s="176"/>
      <c r="F94" s="389">
        <v>133.4</v>
      </c>
      <c r="G94" s="176"/>
      <c r="H94" s="176"/>
      <c r="I94" s="151">
        <f t="shared" si="19"/>
        <v>133.4</v>
      </c>
      <c r="J94" s="176"/>
      <c r="K94" s="176"/>
      <c r="L94" s="176">
        <v>133.4</v>
      </c>
      <c r="M94" s="176"/>
      <c r="N94" s="176"/>
      <c r="O94" s="151">
        <f t="shared" si="23"/>
        <v>133.4</v>
      </c>
      <c r="P94" s="176"/>
      <c r="Q94" s="176"/>
      <c r="R94" s="176">
        <v>133.4</v>
      </c>
      <c r="S94" s="176"/>
      <c r="T94" s="155"/>
    </row>
    <row r="95" spans="1:26" ht="113.25" customHeight="1" x14ac:dyDescent="0.25">
      <c r="A95" s="407"/>
      <c r="B95" s="178" t="s">
        <v>1406</v>
      </c>
      <c r="C95" s="151">
        <f t="shared" si="22"/>
        <v>18</v>
      </c>
      <c r="D95" s="176"/>
      <c r="E95" s="176"/>
      <c r="F95" s="389">
        <v>18</v>
      </c>
      <c r="G95" s="176"/>
      <c r="H95" s="176"/>
      <c r="I95" s="151">
        <f t="shared" si="19"/>
        <v>16.77</v>
      </c>
      <c r="J95" s="176"/>
      <c r="K95" s="176"/>
      <c r="L95" s="176">
        <v>16.77</v>
      </c>
      <c r="M95" s="176"/>
      <c r="N95" s="176"/>
      <c r="O95" s="151">
        <f t="shared" si="23"/>
        <v>16.77</v>
      </c>
      <c r="P95" s="176">
        <v>0</v>
      </c>
      <c r="Q95" s="176"/>
      <c r="R95" s="176">
        <v>16.77</v>
      </c>
      <c r="S95" s="176">
        <v>0</v>
      </c>
      <c r="T95" s="155"/>
    </row>
    <row r="96" spans="1:26" ht="36" customHeight="1" x14ac:dyDescent="0.25">
      <c r="A96" s="407"/>
      <c r="B96" s="178" t="s">
        <v>542</v>
      </c>
      <c r="C96" s="151">
        <f t="shared" si="22"/>
        <v>7</v>
      </c>
      <c r="D96" s="176"/>
      <c r="E96" s="176"/>
      <c r="F96" s="389">
        <v>7</v>
      </c>
      <c r="G96" s="176"/>
      <c r="H96" s="176"/>
      <c r="I96" s="151">
        <f t="shared" si="19"/>
        <v>7.25</v>
      </c>
      <c r="J96" s="176"/>
      <c r="K96" s="176"/>
      <c r="L96" s="176">
        <v>7.25</v>
      </c>
      <c r="M96" s="176"/>
      <c r="N96" s="176"/>
      <c r="O96" s="151">
        <f t="shared" si="23"/>
        <v>7.25</v>
      </c>
      <c r="P96" s="176"/>
      <c r="Q96" s="176"/>
      <c r="R96" s="176">
        <v>7.25</v>
      </c>
      <c r="S96" s="176"/>
      <c r="T96" s="155"/>
    </row>
    <row r="97" spans="1:26" ht="99" customHeight="1" x14ac:dyDescent="0.25">
      <c r="A97" s="407"/>
      <c r="B97" s="382" t="s">
        <v>543</v>
      </c>
      <c r="C97" s="151">
        <f t="shared" si="22"/>
        <v>1035.5999999999999</v>
      </c>
      <c r="D97" s="190"/>
      <c r="E97" s="190"/>
      <c r="F97" s="200">
        <f>SUM(F98:F106)</f>
        <v>1035.5999999999999</v>
      </c>
      <c r="G97" s="190"/>
      <c r="H97" s="190"/>
      <c r="I97" s="151">
        <f t="shared" si="19"/>
        <v>1051.2249999999999</v>
      </c>
      <c r="J97" s="190"/>
      <c r="K97" s="190"/>
      <c r="L97" s="200">
        <f>SUM(L98:L106)</f>
        <v>1051.2249999999999</v>
      </c>
      <c r="M97" s="190"/>
      <c r="N97" s="190"/>
      <c r="O97" s="151">
        <f t="shared" si="23"/>
        <v>1051.23</v>
      </c>
      <c r="P97" s="190"/>
      <c r="Q97" s="200"/>
      <c r="R97" s="200">
        <f>SUM(R98:R106)</f>
        <v>1051.23</v>
      </c>
      <c r="S97" s="190"/>
      <c r="T97" s="155"/>
    </row>
    <row r="98" spans="1:26" ht="147.75" customHeight="1" x14ac:dyDescent="0.25">
      <c r="A98" s="407"/>
      <c r="B98" s="178" t="s">
        <v>544</v>
      </c>
      <c r="C98" s="151">
        <f t="shared" si="22"/>
        <v>400</v>
      </c>
      <c r="D98" s="176"/>
      <c r="E98" s="176"/>
      <c r="F98" s="389">
        <v>400</v>
      </c>
      <c r="G98" s="176"/>
      <c r="H98" s="176"/>
      <c r="I98" s="151">
        <f t="shared" si="19"/>
        <v>459.62</v>
      </c>
      <c r="J98" s="176"/>
      <c r="K98" s="176"/>
      <c r="L98" s="176">
        <v>459.62</v>
      </c>
      <c r="M98" s="176"/>
      <c r="N98" s="176"/>
      <c r="O98" s="151">
        <f t="shared" si="23"/>
        <v>459.62</v>
      </c>
      <c r="P98" s="176">
        <v>0</v>
      </c>
      <c r="Q98" s="176"/>
      <c r="R98" s="176">
        <v>459.62</v>
      </c>
      <c r="S98" s="176">
        <v>0</v>
      </c>
      <c r="T98" s="155"/>
    </row>
    <row r="99" spans="1:26" ht="165" customHeight="1" x14ac:dyDescent="0.25">
      <c r="A99" s="407"/>
      <c r="B99" s="178" t="s">
        <v>545</v>
      </c>
      <c r="C99" s="151">
        <f t="shared" si="22"/>
        <v>150</v>
      </c>
      <c r="D99" s="176"/>
      <c r="E99" s="176"/>
      <c r="F99" s="170">
        <v>150</v>
      </c>
      <c r="G99" s="176"/>
      <c r="H99" s="176"/>
      <c r="I99" s="151">
        <f t="shared" si="19"/>
        <v>190</v>
      </c>
      <c r="J99" s="176"/>
      <c r="K99" s="176"/>
      <c r="L99" s="176">
        <v>190</v>
      </c>
      <c r="M99" s="176"/>
      <c r="N99" s="176"/>
      <c r="O99" s="151">
        <f t="shared" si="23"/>
        <v>190</v>
      </c>
      <c r="P99" s="176"/>
      <c r="Q99" s="176"/>
      <c r="R99" s="176">
        <v>190</v>
      </c>
      <c r="S99" s="176"/>
      <c r="T99" s="155"/>
    </row>
    <row r="100" spans="1:26" ht="118.5" customHeight="1" x14ac:dyDescent="0.25">
      <c r="A100" s="407"/>
      <c r="B100" s="178" t="s">
        <v>546</v>
      </c>
      <c r="C100" s="151">
        <f t="shared" si="22"/>
        <v>50</v>
      </c>
      <c r="D100" s="176"/>
      <c r="E100" s="176"/>
      <c r="F100" s="389">
        <v>50</v>
      </c>
      <c r="G100" s="176"/>
      <c r="H100" s="176"/>
      <c r="I100" s="151">
        <f t="shared" si="19"/>
        <v>30.5</v>
      </c>
      <c r="J100" s="176"/>
      <c r="K100" s="176"/>
      <c r="L100" s="176">
        <v>30.5</v>
      </c>
      <c r="M100" s="176"/>
      <c r="N100" s="176"/>
      <c r="O100" s="151">
        <f t="shared" si="23"/>
        <v>30.5</v>
      </c>
      <c r="P100" s="176"/>
      <c r="Q100" s="176"/>
      <c r="R100" s="176">
        <v>30.5</v>
      </c>
      <c r="S100" s="176"/>
      <c r="T100" s="155"/>
    </row>
    <row r="101" spans="1:26" ht="48.75" customHeight="1" x14ac:dyDescent="0.25">
      <c r="A101" s="407"/>
      <c r="B101" s="178" t="s">
        <v>547</v>
      </c>
      <c r="C101" s="151">
        <f t="shared" si="22"/>
        <v>99</v>
      </c>
      <c r="D101" s="176"/>
      <c r="E101" s="176"/>
      <c r="F101" s="170">
        <v>99</v>
      </c>
      <c r="G101" s="176"/>
      <c r="H101" s="176"/>
      <c r="I101" s="151">
        <f t="shared" si="19"/>
        <v>50</v>
      </c>
      <c r="J101" s="176"/>
      <c r="K101" s="176"/>
      <c r="L101" s="176">
        <v>50</v>
      </c>
      <c r="M101" s="176"/>
      <c r="N101" s="176"/>
      <c r="O101" s="151">
        <f t="shared" si="23"/>
        <v>50</v>
      </c>
      <c r="P101" s="176"/>
      <c r="Q101" s="176"/>
      <c r="R101" s="176">
        <v>50</v>
      </c>
      <c r="S101" s="176"/>
      <c r="T101" s="155"/>
    </row>
    <row r="102" spans="1:26" ht="38.25" customHeight="1" x14ac:dyDescent="0.25">
      <c r="A102" s="407"/>
      <c r="B102" s="178" t="s">
        <v>548</v>
      </c>
      <c r="C102" s="151">
        <f t="shared" si="22"/>
        <v>210</v>
      </c>
      <c r="D102" s="176"/>
      <c r="E102" s="176"/>
      <c r="F102" s="170">
        <v>210</v>
      </c>
      <c r="G102" s="176"/>
      <c r="H102" s="176"/>
      <c r="I102" s="151">
        <f t="shared" si="19"/>
        <v>210</v>
      </c>
      <c r="J102" s="176"/>
      <c r="K102" s="176"/>
      <c r="L102" s="176">
        <v>210</v>
      </c>
      <c r="M102" s="176"/>
      <c r="N102" s="176"/>
      <c r="O102" s="151">
        <f t="shared" si="23"/>
        <v>210</v>
      </c>
      <c r="P102" s="176"/>
      <c r="Q102" s="176"/>
      <c r="R102" s="176">
        <v>210</v>
      </c>
      <c r="S102" s="176"/>
      <c r="T102" s="155"/>
    </row>
    <row r="103" spans="1:26" ht="49.5" customHeight="1" x14ac:dyDescent="0.25">
      <c r="A103" s="407"/>
      <c r="B103" s="178" t="s">
        <v>549</v>
      </c>
      <c r="C103" s="151">
        <f t="shared" si="22"/>
        <v>50</v>
      </c>
      <c r="D103" s="176"/>
      <c r="E103" s="176"/>
      <c r="F103" s="170">
        <v>50</v>
      </c>
      <c r="G103" s="176"/>
      <c r="H103" s="176"/>
      <c r="I103" s="151">
        <f t="shared" si="19"/>
        <v>52.505000000000003</v>
      </c>
      <c r="J103" s="176"/>
      <c r="K103" s="176"/>
      <c r="L103" s="176">
        <v>52.505000000000003</v>
      </c>
      <c r="M103" s="176"/>
      <c r="N103" s="176"/>
      <c r="O103" s="151">
        <f t="shared" si="23"/>
        <v>52.51</v>
      </c>
      <c r="P103" s="176"/>
      <c r="Q103" s="176"/>
      <c r="R103" s="176">
        <v>52.51</v>
      </c>
      <c r="S103" s="176"/>
      <c r="T103" s="155"/>
    </row>
    <row r="104" spans="1:26" ht="38.25" customHeight="1" x14ac:dyDescent="0.25">
      <c r="A104" s="407"/>
      <c r="B104" s="178" t="s">
        <v>550</v>
      </c>
      <c r="C104" s="151">
        <f t="shared" si="22"/>
        <v>18.600000000000001</v>
      </c>
      <c r="D104" s="176"/>
      <c r="E104" s="176"/>
      <c r="F104" s="170">
        <v>18.600000000000001</v>
      </c>
      <c r="G104" s="176"/>
      <c r="H104" s="176"/>
      <c r="I104" s="151">
        <f t="shared" si="19"/>
        <v>18.600000000000001</v>
      </c>
      <c r="J104" s="176"/>
      <c r="K104" s="176"/>
      <c r="L104" s="176">
        <v>18.600000000000001</v>
      </c>
      <c r="M104" s="176"/>
      <c r="N104" s="176"/>
      <c r="O104" s="151">
        <f t="shared" si="23"/>
        <v>18.600000000000001</v>
      </c>
      <c r="P104" s="176"/>
      <c r="Q104" s="176"/>
      <c r="R104" s="176">
        <v>18.600000000000001</v>
      </c>
      <c r="S104" s="176"/>
      <c r="T104" s="155"/>
    </row>
    <row r="105" spans="1:26" ht="18.75" customHeight="1" x14ac:dyDescent="0.25">
      <c r="A105" s="407"/>
      <c r="B105" s="192" t="s">
        <v>551</v>
      </c>
      <c r="C105" s="151">
        <f t="shared" si="22"/>
        <v>35</v>
      </c>
      <c r="D105" s="176"/>
      <c r="E105" s="176"/>
      <c r="F105" s="170">
        <v>35</v>
      </c>
      <c r="G105" s="176"/>
      <c r="H105" s="176"/>
      <c r="I105" s="151">
        <f t="shared" si="19"/>
        <v>17</v>
      </c>
      <c r="J105" s="176"/>
      <c r="K105" s="176"/>
      <c r="L105" s="176">
        <v>17</v>
      </c>
      <c r="M105" s="176"/>
      <c r="N105" s="176"/>
      <c r="O105" s="151">
        <f t="shared" si="23"/>
        <v>17</v>
      </c>
      <c r="P105" s="176"/>
      <c r="Q105" s="176"/>
      <c r="R105" s="176">
        <v>17</v>
      </c>
      <c r="S105" s="176"/>
      <c r="T105" s="155"/>
    </row>
    <row r="106" spans="1:26" ht="37.5" customHeight="1" x14ac:dyDescent="0.25">
      <c r="A106" s="407"/>
      <c r="B106" s="178" t="s">
        <v>552</v>
      </c>
      <c r="C106" s="151">
        <f t="shared" si="22"/>
        <v>23</v>
      </c>
      <c r="D106" s="176"/>
      <c r="E106" s="176"/>
      <c r="F106" s="389">
        <v>23</v>
      </c>
      <c r="G106" s="176"/>
      <c r="H106" s="176"/>
      <c r="I106" s="151">
        <f t="shared" si="19"/>
        <v>23</v>
      </c>
      <c r="J106" s="176"/>
      <c r="K106" s="176"/>
      <c r="L106" s="176">
        <v>23</v>
      </c>
      <c r="M106" s="176"/>
      <c r="N106" s="176"/>
      <c r="O106" s="151">
        <f t="shared" si="23"/>
        <v>23</v>
      </c>
      <c r="P106" s="176"/>
      <c r="Q106" s="176"/>
      <c r="R106" s="176">
        <v>23</v>
      </c>
      <c r="S106" s="176"/>
      <c r="T106" s="155"/>
    </row>
    <row r="107" spans="1:26" s="596" customFormat="1" ht="66" customHeight="1" x14ac:dyDescent="0.3">
      <c r="A107" s="591">
        <v>11</v>
      </c>
      <c r="B107" s="639" t="s">
        <v>553</v>
      </c>
      <c r="C107" s="593">
        <f>SUM(D107:H107)</f>
        <v>1945.74</v>
      </c>
      <c r="D107" s="593">
        <v>0</v>
      </c>
      <c r="E107" s="593">
        <v>0</v>
      </c>
      <c r="F107" s="593">
        <f>SUM(F108+F112)</f>
        <v>1945.74</v>
      </c>
      <c r="G107" s="593">
        <v>0</v>
      </c>
      <c r="H107" s="593">
        <v>0</v>
      </c>
      <c r="I107" s="593">
        <f t="shared" si="19"/>
        <v>3287.3</v>
      </c>
      <c r="J107" s="593">
        <v>0</v>
      </c>
      <c r="K107" s="593">
        <v>0</v>
      </c>
      <c r="L107" s="593">
        <f>SUM(L108+L112)</f>
        <v>3287.3</v>
      </c>
      <c r="M107" s="593">
        <v>0</v>
      </c>
      <c r="N107" s="593">
        <v>0</v>
      </c>
      <c r="O107" s="593">
        <f>SUM(P107:T107)</f>
        <v>3286.9</v>
      </c>
      <c r="P107" s="634">
        <v>0</v>
      </c>
      <c r="Q107" s="634">
        <v>0</v>
      </c>
      <c r="R107" s="593">
        <f>SUM(R108+R112)</f>
        <v>3286.9</v>
      </c>
      <c r="S107" s="634">
        <v>0</v>
      </c>
      <c r="T107" s="634">
        <v>0</v>
      </c>
      <c r="U107" s="594">
        <f>I107/4*4</f>
        <v>3287.3</v>
      </c>
      <c r="V107" s="595">
        <f>O107/U107*100</f>
        <v>99.987831959358743</v>
      </c>
      <c r="Y107" s="597">
        <f>I107-L107</f>
        <v>0</v>
      </c>
      <c r="Z107" s="597">
        <f>Y107/I107*100</f>
        <v>0</v>
      </c>
    </row>
    <row r="108" spans="1:26" ht="31.5" x14ac:dyDescent="0.25">
      <c r="A108" s="407"/>
      <c r="B108" s="193" t="s">
        <v>554</v>
      </c>
      <c r="C108" s="151">
        <f>SUM(C109:C111)</f>
        <v>945.74</v>
      </c>
      <c r="D108" s="194"/>
      <c r="E108" s="194"/>
      <c r="F108" s="194">
        <f>SUM(F109:F111)</f>
        <v>945.74</v>
      </c>
      <c r="G108" s="194"/>
      <c r="H108" s="194"/>
      <c r="I108" s="151">
        <f t="shared" si="19"/>
        <v>2287.3000000000002</v>
      </c>
      <c r="J108" s="194"/>
      <c r="K108" s="194"/>
      <c r="L108" s="194">
        <f>SUM(L109:L111)</f>
        <v>2287.3000000000002</v>
      </c>
      <c r="M108" s="194"/>
      <c r="N108" s="194"/>
      <c r="O108" s="151">
        <f>SUM(P108:T108)</f>
        <v>2286.9</v>
      </c>
      <c r="P108" s="152"/>
      <c r="Q108" s="152"/>
      <c r="R108" s="194">
        <f>SUM(R109:R111)</f>
        <v>2286.9</v>
      </c>
      <c r="S108" s="152"/>
      <c r="T108" s="152"/>
    </row>
    <row r="109" spans="1:26" x14ac:dyDescent="0.25">
      <c r="A109" s="407"/>
      <c r="B109" s="195" t="s">
        <v>539</v>
      </c>
      <c r="C109" s="151">
        <f>SUM(D109:H109)</f>
        <v>395.74</v>
      </c>
      <c r="D109" s="155"/>
      <c r="E109" s="155"/>
      <c r="F109" s="155">
        <v>395.74</v>
      </c>
      <c r="G109" s="155"/>
      <c r="H109" s="155"/>
      <c r="I109" s="151">
        <f t="shared" si="19"/>
        <v>1787.3</v>
      </c>
      <c r="J109" s="155"/>
      <c r="K109" s="155"/>
      <c r="L109" s="155">
        <v>1787.3</v>
      </c>
      <c r="M109" s="155"/>
      <c r="N109" s="155"/>
      <c r="O109" s="151">
        <f>SUM(P109:T109)</f>
        <v>1786.9</v>
      </c>
      <c r="P109" s="155"/>
      <c r="Q109" s="155"/>
      <c r="R109" s="155">
        <v>1786.9</v>
      </c>
      <c r="S109" s="155"/>
      <c r="T109" s="155"/>
    </row>
    <row r="110" spans="1:26" ht="66.75" customHeight="1" x14ac:dyDescent="0.25">
      <c r="A110" s="407"/>
      <c r="B110" s="196" t="s">
        <v>555</v>
      </c>
      <c r="C110" s="151">
        <f>SUM(D110:H110)</f>
        <v>500</v>
      </c>
      <c r="D110" s="154"/>
      <c r="E110" s="154"/>
      <c r="F110" s="154">
        <v>500</v>
      </c>
      <c r="G110" s="154"/>
      <c r="H110" s="154"/>
      <c r="I110" s="151">
        <f t="shared" si="19"/>
        <v>500</v>
      </c>
      <c r="J110" s="155"/>
      <c r="K110" s="155"/>
      <c r="L110" s="155">
        <v>500</v>
      </c>
      <c r="M110" s="155"/>
      <c r="N110" s="155"/>
      <c r="O110" s="151">
        <f>SUM(P110:T110)</f>
        <v>500</v>
      </c>
      <c r="P110" s="155"/>
      <c r="Q110" s="155"/>
      <c r="R110" s="155">
        <v>500</v>
      </c>
      <c r="S110" s="155"/>
      <c r="T110" s="155"/>
    </row>
    <row r="111" spans="1:26" ht="81" customHeight="1" x14ac:dyDescent="0.25">
      <c r="A111" s="407"/>
      <c r="B111" s="196" t="s">
        <v>556</v>
      </c>
      <c r="C111" s="151">
        <f>SUM(D111:H111)</f>
        <v>50</v>
      </c>
      <c r="D111" s="155"/>
      <c r="E111" s="155"/>
      <c r="F111" s="155">
        <v>50</v>
      </c>
      <c r="G111" s="155"/>
      <c r="H111" s="155"/>
      <c r="I111" s="151">
        <f t="shared" si="19"/>
        <v>0</v>
      </c>
      <c r="J111" s="155"/>
      <c r="K111" s="155"/>
      <c r="L111" s="155">
        <v>0</v>
      </c>
      <c r="M111" s="155"/>
      <c r="N111" s="155"/>
      <c r="O111" s="151">
        <f>SUM(P111:T111)</f>
        <v>0</v>
      </c>
      <c r="P111" s="155"/>
      <c r="Q111" s="155"/>
      <c r="R111" s="155">
        <v>0</v>
      </c>
      <c r="S111" s="155"/>
      <c r="T111" s="155"/>
    </row>
    <row r="112" spans="1:26" ht="17.25" customHeight="1" x14ac:dyDescent="0.25">
      <c r="A112" s="407"/>
      <c r="B112" s="197" t="s">
        <v>312</v>
      </c>
      <c r="C112" s="151">
        <f>SUM(D112:H112)</f>
        <v>1000</v>
      </c>
      <c r="D112" s="155"/>
      <c r="E112" s="155"/>
      <c r="F112" s="168">
        <v>1000</v>
      </c>
      <c r="G112" s="155"/>
      <c r="H112" s="155"/>
      <c r="I112" s="151">
        <f t="shared" ref="I112:I129" si="24">SUM(J112:N112)</f>
        <v>1000</v>
      </c>
      <c r="J112" s="155"/>
      <c r="K112" s="155"/>
      <c r="L112" s="155">
        <v>1000</v>
      </c>
      <c r="M112" s="155"/>
      <c r="N112" s="155"/>
      <c r="O112" s="151">
        <f t="shared" ref="O112:O129" si="25">SUM(P112:T112)</f>
        <v>1000</v>
      </c>
      <c r="P112" s="155"/>
      <c r="Q112" s="155"/>
      <c r="R112" s="155">
        <v>1000</v>
      </c>
      <c r="S112" s="155"/>
      <c r="T112" s="155"/>
    </row>
    <row r="113" spans="1:26" s="621" customFormat="1" ht="63" x14ac:dyDescent="0.3">
      <c r="A113" s="616">
        <v>12</v>
      </c>
      <c r="B113" s="592" t="s">
        <v>1318</v>
      </c>
      <c r="C113" s="593">
        <f>SUM(D113:H113)</f>
        <v>7248.14</v>
      </c>
      <c r="D113" s="593">
        <v>0</v>
      </c>
      <c r="E113" s="593">
        <v>0</v>
      </c>
      <c r="F113" s="593">
        <f>SUM(F114+F117+F120+F127)+F124</f>
        <v>7248.14</v>
      </c>
      <c r="G113" s="593">
        <v>0</v>
      </c>
      <c r="H113" s="593">
        <v>0</v>
      </c>
      <c r="I113" s="593">
        <f t="shared" si="24"/>
        <v>7874.0339999999997</v>
      </c>
      <c r="J113" s="593">
        <v>0</v>
      </c>
      <c r="K113" s="593">
        <v>0</v>
      </c>
      <c r="L113" s="640">
        <f>SUM(L114+L117+L120+L124)+L127</f>
        <v>7874.0339999999997</v>
      </c>
      <c r="M113" s="593">
        <v>0</v>
      </c>
      <c r="N113" s="593">
        <v>0</v>
      </c>
      <c r="O113" s="593">
        <f t="shared" si="25"/>
        <v>7873.6039999999994</v>
      </c>
      <c r="P113" s="593">
        <v>0</v>
      </c>
      <c r="Q113" s="593">
        <v>0</v>
      </c>
      <c r="R113" s="641">
        <f>SUM(R114+R117+R120+R124)+R127</f>
        <v>7873.6039999999994</v>
      </c>
      <c r="S113" s="593">
        <v>0</v>
      </c>
      <c r="T113" s="593">
        <v>0</v>
      </c>
      <c r="U113" s="619">
        <f>I113/4*4</f>
        <v>7874.0339999999997</v>
      </c>
      <c r="V113" s="620">
        <f>O113/U113*100</f>
        <v>99.994539012658564</v>
      </c>
      <c r="Y113" s="622">
        <f>I113-L113</f>
        <v>0</v>
      </c>
      <c r="Z113" s="622">
        <f>Y113/I113*100</f>
        <v>0</v>
      </c>
    </row>
    <row r="114" spans="1:26" ht="39.75" customHeight="1" x14ac:dyDescent="0.25">
      <c r="A114" s="407"/>
      <c r="B114" s="414" t="s">
        <v>557</v>
      </c>
      <c r="C114" s="151">
        <f t="shared" ref="C114:C126" si="26">SUM(D114:H114)</f>
        <v>2778.1400000000003</v>
      </c>
      <c r="D114" s="155"/>
      <c r="E114" s="155"/>
      <c r="F114" s="168">
        <f>SUM(F115:F116)</f>
        <v>2778.1400000000003</v>
      </c>
      <c r="G114" s="155"/>
      <c r="H114" s="155"/>
      <c r="I114" s="151">
        <f t="shared" si="24"/>
        <v>2472.6999999999998</v>
      </c>
      <c r="J114" s="168"/>
      <c r="K114" s="168"/>
      <c r="L114" s="190">
        <f>SUM(L115:L116)</f>
        <v>2472.6999999999998</v>
      </c>
      <c r="M114" s="168"/>
      <c r="N114" s="168"/>
      <c r="O114" s="151">
        <f t="shared" si="25"/>
        <v>2472.41</v>
      </c>
      <c r="P114" s="168"/>
      <c r="Q114" s="168"/>
      <c r="R114" s="267">
        <f>SUM(R115:R116)</f>
        <v>2472.41</v>
      </c>
      <c r="S114" s="155"/>
      <c r="T114" s="155"/>
    </row>
    <row r="115" spans="1:26" ht="150" customHeight="1" x14ac:dyDescent="0.25">
      <c r="A115" s="407"/>
      <c r="B115" s="20" t="s">
        <v>558</v>
      </c>
      <c r="C115" s="151">
        <f t="shared" si="26"/>
        <v>2562.6400000000003</v>
      </c>
      <c r="D115" s="155"/>
      <c r="E115" s="155"/>
      <c r="F115" s="176">
        <f>1954.3+12+6.15+590.19</f>
        <v>2562.6400000000003</v>
      </c>
      <c r="G115" s="155"/>
      <c r="H115" s="155"/>
      <c r="I115" s="151">
        <f t="shared" si="24"/>
        <v>2233.9499999999998</v>
      </c>
      <c r="J115" s="155"/>
      <c r="K115" s="155"/>
      <c r="L115" s="432">
        <v>2233.9499999999998</v>
      </c>
      <c r="M115" s="155"/>
      <c r="N115" s="155"/>
      <c r="O115" s="151">
        <f t="shared" si="25"/>
        <v>2233.66</v>
      </c>
      <c r="P115" s="155"/>
      <c r="Q115" s="155"/>
      <c r="R115" s="155">
        <v>2233.66</v>
      </c>
      <c r="S115" s="155"/>
      <c r="T115" s="155"/>
    </row>
    <row r="116" spans="1:26" ht="66" customHeight="1" x14ac:dyDescent="0.25">
      <c r="A116" s="407"/>
      <c r="B116" s="199" t="s">
        <v>559</v>
      </c>
      <c r="C116" s="151">
        <f t="shared" si="26"/>
        <v>215.5</v>
      </c>
      <c r="D116" s="155"/>
      <c r="E116" s="155"/>
      <c r="F116" s="155">
        <v>215.5</v>
      </c>
      <c r="G116" s="155"/>
      <c r="H116" s="155"/>
      <c r="I116" s="151">
        <f t="shared" si="24"/>
        <v>238.75</v>
      </c>
      <c r="J116" s="168"/>
      <c r="K116" s="155"/>
      <c r="L116" s="433">
        <f>233.05+5.7</f>
        <v>238.75</v>
      </c>
      <c r="M116" s="168"/>
      <c r="N116" s="168"/>
      <c r="O116" s="151">
        <f t="shared" si="25"/>
        <v>238.75</v>
      </c>
      <c r="P116" s="168"/>
      <c r="Q116" s="168"/>
      <c r="R116" s="274">
        <v>238.75</v>
      </c>
      <c r="S116" s="155"/>
      <c r="T116" s="155"/>
    </row>
    <row r="117" spans="1:26" ht="20.25" customHeight="1" x14ac:dyDescent="0.25">
      <c r="A117" s="407"/>
      <c r="B117" s="418" t="s">
        <v>560</v>
      </c>
      <c r="C117" s="151">
        <f t="shared" si="26"/>
        <v>715.173</v>
      </c>
      <c r="D117" s="155"/>
      <c r="E117" s="155"/>
      <c r="F117" s="168">
        <f>SUM(F118:F119)</f>
        <v>715.173</v>
      </c>
      <c r="G117" s="155"/>
      <c r="H117" s="155"/>
      <c r="I117" s="151">
        <f t="shared" si="24"/>
        <v>480.84999999999997</v>
      </c>
      <c r="J117" s="155"/>
      <c r="K117" s="155"/>
      <c r="L117" s="190">
        <f>SUM(L118:L119)</f>
        <v>480.84999999999997</v>
      </c>
      <c r="M117" s="155"/>
      <c r="N117" s="155"/>
      <c r="O117" s="151">
        <f t="shared" si="25"/>
        <v>480.84999999999997</v>
      </c>
      <c r="P117" s="155"/>
      <c r="Q117" s="155"/>
      <c r="R117" s="267">
        <f>SUM(R118:R119)</f>
        <v>480.84999999999997</v>
      </c>
      <c r="S117" s="155"/>
      <c r="T117" s="155"/>
    </row>
    <row r="118" spans="1:26" ht="36.75" customHeight="1" x14ac:dyDescent="0.25">
      <c r="A118" s="407"/>
      <c r="B118" s="153" t="s">
        <v>561</v>
      </c>
      <c r="C118" s="151">
        <f t="shared" si="26"/>
        <v>421.78</v>
      </c>
      <c r="D118" s="155"/>
      <c r="E118" s="155"/>
      <c r="F118" s="176">
        <v>421.78</v>
      </c>
      <c r="G118" s="155"/>
      <c r="H118" s="155"/>
      <c r="I118" s="151">
        <f t="shared" si="24"/>
        <v>347.9</v>
      </c>
      <c r="J118" s="155"/>
      <c r="K118" s="155"/>
      <c r="L118" s="275">
        <v>347.9</v>
      </c>
      <c r="M118" s="155"/>
      <c r="N118" s="155"/>
      <c r="O118" s="151">
        <f t="shared" si="25"/>
        <v>347.9</v>
      </c>
      <c r="P118" s="155"/>
      <c r="Q118" s="155"/>
      <c r="R118" s="155">
        <v>347.9</v>
      </c>
      <c r="S118" s="155"/>
      <c r="T118" s="155"/>
    </row>
    <row r="119" spans="1:26" ht="67.5" customHeight="1" x14ac:dyDescent="0.25">
      <c r="A119" s="407"/>
      <c r="B119" s="21" t="s">
        <v>562</v>
      </c>
      <c r="C119" s="151">
        <f t="shared" si="26"/>
        <v>293.39299999999997</v>
      </c>
      <c r="D119" s="155"/>
      <c r="E119" s="155"/>
      <c r="F119" s="176">
        <f>271.193+22.2</f>
        <v>293.39299999999997</v>
      </c>
      <c r="G119" s="155"/>
      <c r="H119" s="155"/>
      <c r="I119" s="151">
        <f t="shared" si="24"/>
        <v>132.94999999999999</v>
      </c>
      <c r="J119" s="155"/>
      <c r="K119" s="155"/>
      <c r="L119" s="155">
        <v>132.94999999999999</v>
      </c>
      <c r="M119" s="168"/>
      <c r="N119" s="168"/>
      <c r="O119" s="151">
        <f t="shared" si="25"/>
        <v>132.94999999999999</v>
      </c>
      <c r="P119" s="168"/>
      <c r="Q119" s="168"/>
      <c r="R119" s="155">
        <v>132.94999999999999</v>
      </c>
      <c r="S119" s="155"/>
      <c r="T119" s="155"/>
    </row>
    <row r="120" spans="1:26" ht="31.5" x14ac:dyDescent="0.25">
      <c r="A120" s="407"/>
      <c r="B120" s="418" t="s">
        <v>563</v>
      </c>
      <c r="C120" s="151">
        <f t="shared" si="26"/>
        <v>1130.527</v>
      </c>
      <c r="D120" s="155"/>
      <c r="E120" s="155"/>
      <c r="F120" s="168">
        <f>SUM(F121:F123)</f>
        <v>1130.527</v>
      </c>
      <c r="G120" s="155"/>
      <c r="H120" s="155"/>
      <c r="I120" s="151">
        <f t="shared" si="24"/>
        <v>1649.654</v>
      </c>
      <c r="J120" s="155"/>
      <c r="K120" s="155"/>
      <c r="L120" s="190">
        <f>SUM(L121:L123)</f>
        <v>1649.654</v>
      </c>
      <c r="M120" s="155"/>
      <c r="N120" s="155"/>
      <c r="O120" s="151">
        <f t="shared" si="25"/>
        <v>1649.654</v>
      </c>
      <c r="P120" s="155"/>
      <c r="Q120" s="155"/>
      <c r="R120" s="190">
        <f>SUM(R121:R123)</f>
        <v>1649.654</v>
      </c>
      <c r="S120" s="155"/>
      <c r="T120" s="155"/>
    </row>
    <row r="121" spans="1:26" ht="47.25" x14ac:dyDescent="0.25">
      <c r="A121" s="407"/>
      <c r="B121" s="20" t="s">
        <v>564</v>
      </c>
      <c r="C121" s="151">
        <f t="shared" si="26"/>
        <v>349.077</v>
      </c>
      <c r="D121" s="155"/>
      <c r="E121" s="155"/>
      <c r="F121" s="176">
        <f>904.99-555.913</f>
        <v>349.077</v>
      </c>
      <c r="G121" s="155"/>
      <c r="H121" s="155"/>
      <c r="I121" s="151">
        <f t="shared" si="24"/>
        <v>443.39800000000002</v>
      </c>
      <c r="J121" s="155"/>
      <c r="K121" s="155"/>
      <c r="L121" s="155">
        <v>443.39800000000002</v>
      </c>
      <c r="M121" s="155"/>
      <c r="N121" s="155"/>
      <c r="O121" s="151">
        <f t="shared" si="25"/>
        <v>443.39800000000002</v>
      </c>
      <c r="P121" s="155"/>
      <c r="Q121" s="155"/>
      <c r="R121" s="155">
        <v>443.39800000000002</v>
      </c>
      <c r="S121" s="155"/>
      <c r="T121" s="155"/>
    </row>
    <row r="122" spans="1:26" ht="69" customHeight="1" x14ac:dyDescent="0.25">
      <c r="A122" s="407"/>
      <c r="B122" s="21" t="s">
        <v>562</v>
      </c>
      <c r="C122" s="151">
        <f t="shared" si="26"/>
        <v>204.88</v>
      </c>
      <c r="D122" s="155"/>
      <c r="E122" s="155"/>
      <c r="F122" s="176">
        <v>204.88</v>
      </c>
      <c r="G122" s="155"/>
      <c r="H122" s="155"/>
      <c r="I122" s="151">
        <f t="shared" si="24"/>
        <v>690.89899999999989</v>
      </c>
      <c r="J122" s="155"/>
      <c r="K122" s="155"/>
      <c r="L122" s="155">
        <v>690.89899999999989</v>
      </c>
      <c r="M122" s="168"/>
      <c r="N122" s="168"/>
      <c r="O122" s="151">
        <f t="shared" si="25"/>
        <v>690.89899999999989</v>
      </c>
      <c r="P122" s="168"/>
      <c r="Q122" s="168"/>
      <c r="R122" s="155">
        <v>690.89899999999989</v>
      </c>
      <c r="S122" s="155"/>
      <c r="T122" s="155"/>
    </row>
    <row r="123" spans="1:26" ht="63" x14ac:dyDescent="0.25">
      <c r="A123" s="407"/>
      <c r="B123" s="20" t="s">
        <v>565</v>
      </c>
      <c r="C123" s="151">
        <f t="shared" si="26"/>
        <v>576.57000000000005</v>
      </c>
      <c r="D123" s="152"/>
      <c r="E123" s="152"/>
      <c r="F123" s="176">
        <v>576.57000000000005</v>
      </c>
      <c r="G123" s="155"/>
      <c r="H123" s="155"/>
      <c r="I123" s="151">
        <f t="shared" si="24"/>
        <v>515.35699999999997</v>
      </c>
      <c r="J123" s="155"/>
      <c r="K123" s="155"/>
      <c r="L123" s="186">
        <v>515.35699999999997</v>
      </c>
      <c r="M123" s="155"/>
      <c r="N123" s="155"/>
      <c r="O123" s="151">
        <f t="shared" si="25"/>
        <v>515.35699999999997</v>
      </c>
      <c r="P123" s="155"/>
      <c r="Q123" s="155"/>
      <c r="R123" s="186">
        <v>515.35699999999997</v>
      </c>
      <c r="S123" s="155"/>
      <c r="T123" s="155"/>
    </row>
    <row r="124" spans="1:26" s="266" customFormat="1" ht="47.25" x14ac:dyDescent="0.25">
      <c r="A124" s="407"/>
      <c r="B124" s="418" t="s">
        <v>566</v>
      </c>
      <c r="C124" s="151">
        <f t="shared" si="26"/>
        <v>96.3</v>
      </c>
      <c r="D124" s="152"/>
      <c r="E124" s="152"/>
      <c r="F124" s="168">
        <f>SUM(F125:F126)</f>
        <v>96.3</v>
      </c>
      <c r="G124" s="168"/>
      <c r="H124" s="168"/>
      <c r="I124" s="151">
        <f t="shared" si="24"/>
        <v>96.3</v>
      </c>
      <c r="J124" s="168"/>
      <c r="K124" s="168"/>
      <c r="L124" s="168">
        <v>96.3</v>
      </c>
      <c r="M124" s="168"/>
      <c r="N124" s="168"/>
      <c r="O124" s="151">
        <f t="shared" si="25"/>
        <v>96.16</v>
      </c>
      <c r="P124" s="168"/>
      <c r="Q124" s="168"/>
      <c r="R124" s="168">
        <f>R125+R126</f>
        <v>96.16</v>
      </c>
      <c r="S124" s="168"/>
      <c r="T124" s="168"/>
    </row>
    <row r="125" spans="1:26" ht="50.25" customHeight="1" x14ac:dyDescent="0.25">
      <c r="A125" s="407"/>
      <c r="B125" s="20" t="s">
        <v>567</v>
      </c>
      <c r="C125" s="151">
        <f t="shared" si="26"/>
        <v>30.3</v>
      </c>
      <c r="D125" s="152"/>
      <c r="E125" s="152"/>
      <c r="F125" s="176">
        <v>30.3</v>
      </c>
      <c r="G125" s="155"/>
      <c r="H125" s="155"/>
      <c r="I125" s="151">
        <f t="shared" si="24"/>
        <v>0</v>
      </c>
      <c r="J125" s="155"/>
      <c r="K125" s="155"/>
      <c r="L125" s="176"/>
      <c r="M125" s="155"/>
      <c r="N125" s="155"/>
      <c r="O125" s="151">
        <f t="shared" si="25"/>
        <v>0</v>
      </c>
      <c r="P125" s="155"/>
      <c r="Q125" s="155"/>
      <c r="R125" s="176"/>
      <c r="S125" s="155"/>
      <c r="T125" s="155"/>
    </row>
    <row r="126" spans="1:26" ht="70.5" customHeight="1" x14ac:dyDescent="0.25">
      <c r="A126" s="407"/>
      <c r="B126" s="20" t="s">
        <v>562</v>
      </c>
      <c r="C126" s="151">
        <f t="shared" si="26"/>
        <v>66</v>
      </c>
      <c r="D126" s="152"/>
      <c r="E126" s="152"/>
      <c r="F126" s="176">
        <v>66</v>
      </c>
      <c r="G126" s="155"/>
      <c r="H126" s="155"/>
      <c r="I126" s="151">
        <f t="shared" si="24"/>
        <v>96.3</v>
      </c>
      <c r="J126" s="155"/>
      <c r="K126" s="155"/>
      <c r="L126" s="176">
        <v>96.3</v>
      </c>
      <c r="M126" s="155"/>
      <c r="N126" s="155"/>
      <c r="O126" s="151">
        <f t="shared" si="25"/>
        <v>96.16</v>
      </c>
      <c r="P126" s="155"/>
      <c r="Q126" s="155"/>
      <c r="R126" s="176">
        <v>96.16</v>
      </c>
      <c r="S126" s="155"/>
      <c r="T126" s="155"/>
    </row>
    <row r="127" spans="1:26" ht="31.5" x14ac:dyDescent="0.25">
      <c r="A127" s="407"/>
      <c r="B127" s="418" t="s">
        <v>568</v>
      </c>
      <c r="C127" s="151">
        <f>SUM(D127:H127)</f>
        <v>2528</v>
      </c>
      <c r="D127" s="152"/>
      <c r="E127" s="152"/>
      <c r="F127" s="190">
        <f>SUM(F128:F129)</f>
        <v>2528</v>
      </c>
      <c r="G127" s="155"/>
      <c r="H127" s="155"/>
      <c r="I127" s="151">
        <f t="shared" si="24"/>
        <v>3174.53</v>
      </c>
      <c r="J127" s="155"/>
      <c r="K127" s="155"/>
      <c r="L127" s="190">
        <f>SUM(L128:L129)</f>
        <v>3174.53</v>
      </c>
      <c r="M127" s="155"/>
      <c r="N127" s="155"/>
      <c r="O127" s="151">
        <f t="shared" si="25"/>
        <v>3174.53</v>
      </c>
      <c r="P127" s="155"/>
      <c r="Q127" s="155"/>
      <c r="R127" s="190">
        <f>SUM(R128:R129)</f>
        <v>3174.53</v>
      </c>
      <c r="S127" s="155"/>
      <c r="T127" s="155"/>
    </row>
    <row r="128" spans="1:26" ht="63" x14ac:dyDescent="0.25">
      <c r="A128" s="407"/>
      <c r="B128" s="20" t="s">
        <v>569</v>
      </c>
      <c r="C128" s="151">
        <f t="shared" ref="C128:C168" si="27">SUM(D128:H128)</f>
        <v>1968</v>
      </c>
      <c r="D128" s="152"/>
      <c r="E128" s="152"/>
      <c r="F128" s="176">
        <v>1968</v>
      </c>
      <c r="G128" s="155"/>
      <c r="H128" s="155"/>
      <c r="I128" s="151">
        <f t="shared" si="24"/>
        <v>2486.5300000000002</v>
      </c>
      <c r="J128" s="155"/>
      <c r="K128" s="155"/>
      <c r="L128" s="155">
        <v>2486.5300000000002</v>
      </c>
      <c r="M128" s="155"/>
      <c r="N128" s="155"/>
      <c r="O128" s="151">
        <f t="shared" si="25"/>
        <v>2486.5300000000002</v>
      </c>
      <c r="P128" s="155"/>
      <c r="Q128" s="155"/>
      <c r="R128" s="155">
        <v>2486.5300000000002</v>
      </c>
      <c r="S128" s="155"/>
      <c r="T128" s="155"/>
    </row>
    <row r="129" spans="1:26" ht="47.25" x14ac:dyDescent="0.25">
      <c r="A129" s="407"/>
      <c r="B129" s="20" t="s">
        <v>570</v>
      </c>
      <c r="C129" s="151">
        <f t="shared" si="27"/>
        <v>560</v>
      </c>
      <c r="D129" s="152"/>
      <c r="E129" s="152"/>
      <c r="F129" s="176">
        <v>560</v>
      </c>
      <c r="G129" s="155"/>
      <c r="H129" s="155"/>
      <c r="I129" s="151">
        <f t="shared" si="24"/>
        <v>688</v>
      </c>
      <c r="J129" s="155"/>
      <c r="K129" s="155"/>
      <c r="L129" s="155">
        <v>688</v>
      </c>
      <c r="M129" s="155"/>
      <c r="N129" s="155"/>
      <c r="O129" s="151">
        <f t="shared" si="25"/>
        <v>688</v>
      </c>
      <c r="P129" s="155"/>
      <c r="Q129" s="155"/>
      <c r="R129" s="155">
        <v>688</v>
      </c>
      <c r="S129" s="155"/>
      <c r="T129" s="155"/>
    </row>
    <row r="130" spans="1:26" s="621" customFormat="1" ht="47.25" x14ac:dyDescent="0.3">
      <c r="A130" s="616">
        <v>13</v>
      </c>
      <c r="B130" s="633" t="s">
        <v>1323</v>
      </c>
      <c r="C130" s="593">
        <f>SUM(D130:H130)</f>
        <v>690.08</v>
      </c>
      <c r="D130" s="634">
        <v>0</v>
      </c>
      <c r="E130" s="642">
        <v>0</v>
      </c>
      <c r="F130" s="642">
        <f>SUM(F131+F133+F138+F153+F163+F136)</f>
        <v>690.08</v>
      </c>
      <c r="G130" s="593">
        <v>0</v>
      </c>
      <c r="H130" s="593">
        <v>0</v>
      </c>
      <c r="I130" s="593">
        <f>SUM(J130:N130)</f>
        <v>681.02</v>
      </c>
      <c r="J130" s="634">
        <v>0</v>
      </c>
      <c r="K130" s="642">
        <v>0</v>
      </c>
      <c r="L130" s="642">
        <f>SUM(L131+L133+L138+L153+L163+L168)</f>
        <v>681.02</v>
      </c>
      <c r="M130" s="593">
        <v>0</v>
      </c>
      <c r="N130" s="642">
        <v>0</v>
      </c>
      <c r="O130" s="593">
        <f>SUM(P130:T130)</f>
        <v>655.29</v>
      </c>
      <c r="P130" s="634">
        <v>0</v>
      </c>
      <c r="Q130" s="642">
        <v>0</v>
      </c>
      <c r="R130" s="642">
        <f>SUM(R131+R133+R138+R153+R163+R168)</f>
        <v>655.29</v>
      </c>
      <c r="S130" s="593">
        <v>0</v>
      </c>
      <c r="T130" s="593">
        <v>0</v>
      </c>
      <c r="U130" s="619">
        <f>I130/4*4</f>
        <v>681.02</v>
      </c>
      <c r="V130" s="620">
        <f>O130/U130*100</f>
        <v>96.221843705030679</v>
      </c>
      <c r="Y130" s="622">
        <f>I130-L130</f>
        <v>0</v>
      </c>
      <c r="Z130" s="622">
        <f>Y130/I130*100</f>
        <v>0</v>
      </c>
    </row>
    <row r="131" spans="1:26" ht="47.25" x14ac:dyDescent="0.25">
      <c r="A131" s="407"/>
      <c r="B131" s="189" t="s">
        <v>367</v>
      </c>
      <c r="C131" s="151">
        <f t="shared" si="27"/>
        <v>100</v>
      </c>
      <c r="D131" s="155"/>
      <c r="E131" s="155"/>
      <c r="F131" s="200">
        <v>100</v>
      </c>
      <c r="G131" s="155"/>
      <c r="H131" s="155"/>
      <c r="I131" s="151">
        <f t="shared" ref="I131:I168" si="28">SUM(J131:N131)</f>
        <v>100</v>
      </c>
      <c r="J131" s="155"/>
      <c r="K131" s="155"/>
      <c r="L131" s="200">
        <v>100</v>
      </c>
      <c r="M131" s="155"/>
      <c r="N131" s="155"/>
      <c r="O131" s="151">
        <f t="shared" ref="O131:O168" si="29">SUM(P131:T131)</f>
        <v>100</v>
      </c>
      <c r="P131" s="155"/>
      <c r="Q131" s="155"/>
      <c r="R131" s="201">
        <f>R132</f>
        <v>100</v>
      </c>
      <c r="S131" s="155"/>
      <c r="T131" s="155"/>
    </row>
    <row r="132" spans="1:26" ht="47.25" x14ac:dyDescent="0.25">
      <c r="A132" s="407"/>
      <c r="B132" s="388" t="s">
        <v>571</v>
      </c>
      <c r="C132" s="151">
        <f t="shared" si="27"/>
        <v>100</v>
      </c>
      <c r="D132" s="155"/>
      <c r="E132" s="155"/>
      <c r="F132" s="154">
        <v>100</v>
      </c>
      <c r="G132" s="154"/>
      <c r="H132" s="155"/>
      <c r="I132" s="151">
        <f t="shared" si="28"/>
        <v>100</v>
      </c>
      <c r="J132" s="155"/>
      <c r="K132" s="155"/>
      <c r="L132" s="155">
        <v>100</v>
      </c>
      <c r="M132" s="155"/>
      <c r="N132" s="155"/>
      <c r="O132" s="151">
        <f t="shared" si="29"/>
        <v>100</v>
      </c>
      <c r="P132" s="155"/>
      <c r="Q132" s="155"/>
      <c r="R132" s="155">
        <v>100</v>
      </c>
      <c r="S132" s="155"/>
      <c r="T132" s="155"/>
    </row>
    <row r="133" spans="1:26" ht="47.25" x14ac:dyDescent="0.25">
      <c r="A133" s="407"/>
      <c r="B133" s="189" t="s">
        <v>368</v>
      </c>
      <c r="C133" s="151">
        <f t="shared" si="27"/>
        <v>40</v>
      </c>
      <c r="D133" s="155"/>
      <c r="E133" s="155"/>
      <c r="F133" s="152">
        <f>SUM(F134:F135)</f>
        <v>40</v>
      </c>
      <c r="G133" s="154"/>
      <c r="H133" s="155"/>
      <c r="I133" s="151">
        <f t="shared" si="28"/>
        <v>0</v>
      </c>
      <c r="J133" s="155"/>
      <c r="K133" s="155"/>
      <c r="L133" s="152">
        <f>SUM(L134:L135)</f>
        <v>0</v>
      </c>
      <c r="M133" s="155"/>
      <c r="N133" s="155"/>
      <c r="O133" s="151">
        <f t="shared" si="29"/>
        <v>0</v>
      </c>
      <c r="P133" s="155"/>
      <c r="Q133" s="155"/>
      <c r="R133" s="152">
        <f>SUM(R134:R135)</f>
        <v>0</v>
      </c>
      <c r="S133" s="155"/>
      <c r="T133" s="155"/>
    </row>
    <row r="134" spans="1:26" ht="47.25" x14ac:dyDescent="0.25">
      <c r="A134" s="407"/>
      <c r="B134" s="203" t="s">
        <v>572</v>
      </c>
      <c r="C134" s="151">
        <f t="shared" si="27"/>
        <v>20</v>
      </c>
      <c r="D134" s="155"/>
      <c r="E134" s="200"/>
      <c r="F134" s="200">
        <v>20</v>
      </c>
      <c r="G134" s="154"/>
      <c r="H134" s="155"/>
      <c r="I134" s="151">
        <f t="shared" si="28"/>
        <v>0</v>
      </c>
      <c r="J134" s="155"/>
      <c r="K134" s="200"/>
      <c r="L134" s="200"/>
      <c r="M134" s="155"/>
      <c r="N134" s="155"/>
      <c r="O134" s="151">
        <f t="shared" si="29"/>
        <v>0</v>
      </c>
      <c r="P134" s="155"/>
      <c r="Q134" s="155"/>
      <c r="R134" s="201"/>
      <c r="S134" s="155"/>
      <c r="T134" s="155"/>
    </row>
    <row r="135" spans="1:26" ht="31.5" x14ac:dyDescent="0.25">
      <c r="A135" s="407"/>
      <c r="B135" s="203" t="s">
        <v>573</v>
      </c>
      <c r="C135" s="151">
        <f t="shared" si="27"/>
        <v>20</v>
      </c>
      <c r="D135" s="155"/>
      <c r="E135" s="155"/>
      <c r="F135" s="200">
        <v>20</v>
      </c>
      <c r="G135" s="154"/>
      <c r="H135" s="155"/>
      <c r="I135" s="151">
        <f t="shared" si="28"/>
        <v>0</v>
      </c>
      <c r="J135" s="155"/>
      <c r="K135" s="155"/>
      <c r="L135" s="201"/>
      <c r="M135" s="155"/>
      <c r="N135" s="155"/>
      <c r="O135" s="151">
        <f t="shared" si="29"/>
        <v>0</v>
      </c>
      <c r="P135" s="155"/>
      <c r="Q135" s="155"/>
      <c r="R135" s="201"/>
      <c r="S135" s="155"/>
      <c r="T135" s="155"/>
    </row>
    <row r="136" spans="1:26" ht="31.5" hidden="1" x14ac:dyDescent="0.25">
      <c r="A136" s="407"/>
      <c r="B136" s="189" t="s">
        <v>939</v>
      </c>
      <c r="C136" s="151">
        <f>SUM(D136:H136)</f>
        <v>0</v>
      </c>
      <c r="D136" s="155"/>
      <c r="E136" s="155"/>
      <c r="F136" s="152">
        <f>SUM(F137)</f>
        <v>0</v>
      </c>
      <c r="G136" s="154"/>
      <c r="H136" s="155"/>
      <c r="I136" s="151">
        <f>SUM(J136:N136)</f>
        <v>0</v>
      </c>
      <c r="J136" s="155"/>
      <c r="K136" s="155"/>
      <c r="L136" s="152"/>
      <c r="M136" s="155"/>
      <c r="N136" s="155"/>
      <c r="O136" s="151">
        <f>SUM(P136:T136)</f>
        <v>0</v>
      </c>
      <c r="P136" s="155"/>
      <c r="Q136" s="155"/>
      <c r="R136" s="152"/>
      <c r="S136" s="155"/>
      <c r="T136" s="155"/>
    </row>
    <row r="137" spans="1:26" ht="68.25" hidden="1" customHeight="1" x14ac:dyDescent="0.25">
      <c r="A137" s="407"/>
      <c r="B137" s="203" t="s">
        <v>940</v>
      </c>
      <c r="C137" s="151">
        <f>SUM(D137:H137)</f>
        <v>0</v>
      </c>
      <c r="D137" s="155"/>
      <c r="E137" s="200"/>
      <c r="F137" s="200">
        <v>0</v>
      </c>
      <c r="G137" s="154"/>
      <c r="H137" s="155"/>
      <c r="I137" s="151">
        <f>SUM(J137:N137)</f>
        <v>0</v>
      </c>
      <c r="J137" s="155"/>
      <c r="K137" s="200"/>
      <c r="L137" s="200"/>
      <c r="M137" s="155"/>
      <c r="N137" s="155"/>
      <c r="O137" s="151">
        <f>SUM(P137:T137)</f>
        <v>0</v>
      </c>
      <c r="P137" s="155"/>
      <c r="Q137" s="155"/>
      <c r="R137" s="201"/>
      <c r="S137" s="155"/>
      <c r="T137" s="155"/>
    </row>
    <row r="138" spans="1:26" ht="80.25" customHeight="1" x14ac:dyDescent="0.25">
      <c r="A138" s="407"/>
      <c r="B138" s="189" t="s">
        <v>369</v>
      </c>
      <c r="C138" s="151">
        <f t="shared" si="27"/>
        <v>145</v>
      </c>
      <c r="D138" s="155"/>
      <c r="E138" s="155"/>
      <c r="F138" s="389">
        <f>SUM(F139+F144+F149+F151+F140)</f>
        <v>145</v>
      </c>
      <c r="G138" s="154"/>
      <c r="H138" s="155"/>
      <c r="I138" s="151">
        <f t="shared" si="28"/>
        <v>59.481999999999999</v>
      </c>
      <c r="J138" s="155"/>
      <c r="K138" s="155"/>
      <c r="L138" s="200">
        <f>SUM(L139+L144+L149+L151)</f>
        <v>59.481999999999999</v>
      </c>
      <c r="M138" s="155"/>
      <c r="N138" s="155"/>
      <c r="O138" s="151">
        <f t="shared" si="29"/>
        <v>59.481999999999999</v>
      </c>
      <c r="P138" s="155"/>
      <c r="Q138" s="155"/>
      <c r="R138" s="200">
        <f>SUM(R139+R144+R149+R151)</f>
        <v>59.481999999999999</v>
      </c>
      <c r="S138" s="155"/>
      <c r="T138" s="155"/>
    </row>
    <row r="139" spans="1:26" ht="47.25" x14ac:dyDescent="0.25">
      <c r="A139" s="407"/>
      <c r="B139" s="204" t="s">
        <v>574</v>
      </c>
      <c r="C139" s="151">
        <f t="shared" si="27"/>
        <v>40</v>
      </c>
      <c r="D139" s="155"/>
      <c r="E139" s="155"/>
      <c r="F139" s="200">
        <f>SUM(F141:F143)</f>
        <v>40</v>
      </c>
      <c r="G139" s="154"/>
      <c r="H139" s="155"/>
      <c r="I139" s="151">
        <f t="shared" si="28"/>
        <v>0</v>
      </c>
      <c r="J139" s="155"/>
      <c r="K139" s="155"/>
      <c r="L139" s="200">
        <f>SUM(L141:L143)</f>
        <v>0</v>
      </c>
      <c r="M139" s="155"/>
      <c r="N139" s="155"/>
      <c r="O139" s="151">
        <f t="shared" si="29"/>
        <v>0</v>
      </c>
      <c r="P139" s="155"/>
      <c r="Q139" s="155"/>
      <c r="R139" s="201"/>
      <c r="S139" s="155"/>
      <c r="T139" s="155"/>
    </row>
    <row r="140" spans="1:26" ht="63" hidden="1" x14ac:dyDescent="0.25">
      <c r="A140" s="407"/>
      <c r="B140" s="388" t="s">
        <v>941</v>
      </c>
      <c r="C140" s="151">
        <f t="shared" si="27"/>
        <v>0</v>
      </c>
      <c r="D140" s="155"/>
      <c r="E140" s="155"/>
      <c r="F140" s="200">
        <v>0</v>
      </c>
      <c r="G140" s="154"/>
      <c r="H140" s="155"/>
      <c r="I140" s="151"/>
      <c r="J140" s="155"/>
      <c r="K140" s="155"/>
      <c r="L140" s="200"/>
      <c r="M140" s="155"/>
      <c r="N140" s="155"/>
      <c r="O140" s="151"/>
      <c r="P140" s="155"/>
      <c r="Q140" s="155"/>
      <c r="R140" s="201"/>
      <c r="S140" s="155"/>
      <c r="T140" s="155"/>
    </row>
    <row r="141" spans="1:26" ht="47.25" x14ac:dyDescent="0.25">
      <c r="A141" s="407"/>
      <c r="B141" s="203" t="s">
        <v>575</v>
      </c>
      <c r="C141" s="151">
        <f t="shared" si="27"/>
        <v>15</v>
      </c>
      <c r="D141" s="155"/>
      <c r="E141" s="168"/>
      <c r="F141" s="154">
        <v>15</v>
      </c>
      <c r="G141" s="154"/>
      <c r="H141" s="155"/>
      <c r="I141" s="151">
        <f t="shared" si="28"/>
        <v>0</v>
      </c>
      <c r="J141" s="155"/>
      <c r="K141" s="168"/>
      <c r="L141" s="201"/>
      <c r="M141" s="155"/>
      <c r="N141" s="155"/>
      <c r="O141" s="151">
        <f t="shared" si="29"/>
        <v>0</v>
      </c>
      <c r="P141" s="155"/>
      <c r="Q141" s="155"/>
      <c r="R141" s="201"/>
      <c r="S141" s="155"/>
      <c r="T141" s="155"/>
    </row>
    <row r="142" spans="1:26" ht="99" customHeight="1" x14ac:dyDescent="0.25">
      <c r="A142" s="407"/>
      <c r="B142" s="203" t="s">
        <v>576</v>
      </c>
      <c r="C142" s="151">
        <f t="shared" si="27"/>
        <v>15</v>
      </c>
      <c r="D142" s="155"/>
      <c r="E142" s="155"/>
      <c r="F142" s="154">
        <v>15</v>
      </c>
      <c r="G142" s="154"/>
      <c r="H142" s="155"/>
      <c r="I142" s="151">
        <f t="shared" si="28"/>
        <v>0</v>
      </c>
      <c r="J142" s="155"/>
      <c r="K142" s="155"/>
      <c r="L142" s="402"/>
      <c r="M142" s="155"/>
      <c r="N142" s="155"/>
      <c r="O142" s="151">
        <f t="shared" si="29"/>
        <v>0</v>
      </c>
      <c r="P142" s="155"/>
      <c r="Q142" s="155"/>
      <c r="R142" s="402"/>
      <c r="S142" s="155"/>
      <c r="T142" s="155"/>
    </row>
    <row r="143" spans="1:26" ht="51" customHeight="1" x14ac:dyDescent="0.25">
      <c r="A143" s="407"/>
      <c r="B143" s="203" t="s">
        <v>577</v>
      </c>
      <c r="C143" s="151">
        <f t="shared" si="27"/>
        <v>10</v>
      </c>
      <c r="D143" s="168"/>
      <c r="E143" s="155"/>
      <c r="F143" s="154">
        <v>10</v>
      </c>
      <c r="G143" s="152"/>
      <c r="H143" s="168"/>
      <c r="I143" s="151">
        <f t="shared" si="28"/>
        <v>0</v>
      </c>
      <c r="J143" s="155"/>
      <c r="K143" s="155"/>
      <c r="L143" s="155"/>
      <c r="M143" s="155"/>
      <c r="N143" s="155"/>
      <c r="O143" s="151">
        <f t="shared" si="29"/>
        <v>0</v>
      </c>
      <c r="P143" s="155"/>
      <c r="Q143" s="155"/>
      <c r="R143" s="155"/>
      <c r="S143" s="155"/>
      <c r="T143" s="155"/>
    </row>
    <row r="144" spans="1:26" ht="63" x14ac:dyDescent="0.25">
      <c r="A144" s="407"/>
      <c r="B144" s="204" t="s">
        <v>578</v>
      </c>
      <c r="C144" s="151">
        <f t="shared" si="27"/>
        <v>105</v>
      </c>
      <c r="D144" s="168"/>
      <c r="E144" s="155"/>
      <c r="F144" s="152">
        <f>SUM(F145:F148)</f>
        <v>105</v>
      </c>
      <c r="G144" s="152"/>
      <c r="H144" s="168"/>
      <c r="I144" s="151">
        <f t="shared" si="28"/>
        <v>59.481999999999999</v>
      </c>
      <c r="J144" s="155"/>
      <c r="K144" s="155"/>
      <c r="L144" s="155">
        <f>SUM(L145:L146)</f>
        <v>59.481999999999999</v>
      </c>
      <c r="M144" s="155"/>
      <c r="N144" s="155"/>
      <c r="O144" s="151">
        <f t="shared" si="29"/>
        <v>59.481999999999999</v>
      </c>
      <c r="P144" s="155"/>
      <c r="Q144" s="155"/>
      <c r="R144" s="155">
        <f>SUM(R145:R146)</f>
        <v>59.481999999999999</v>
      </c>
      <c r="S144" s="155"/>
      <c r="T144" s="155"/>
    </row>
    <row r="145" spans="1:20" ht="83.25" customHeight="1" x14ac:dyDescent="0.25">
      <c r="A145" s="407"/>
      <c r="B145" s="203" t="s">
        <v>579</v>
      </c>
      <c r="C145" s="151">
        <f t="shared" si="27"/>
        <v>80</v>
      </c>
      <c r="D145" s="168"/>
      <c r="E145" s="155"/>
      <c r="F145" s="152">
        <v>80</v>
      </c>
      <c r="G145" s="152"/>
      <c r="H145" s="168"/>
      <c r="I145" s="151">
        <f t="shared" si="28"/>
        <v>34.481999999999999</v>
      </c>
      <c r="J145" s="155"/>
      <c r="K145" s="155"/>
      <c r="L145" s="155">
        <v>34.481999999999999</v>
      </c>
      <c r="M145" s="155"/>
      <c r="N145" s="155"/>
      <c r="O145" s="151">
        <f t="shared" si="29"/>
        <v>34.481999999999999</v>
      </c>
      <c r="P145" s="155"/>
      <c r="Q145" s="155"/>
      <c r="R145" s="155">
        <v>34.481999999999999</v>
      </c>
      <c r="S145" s="155"/>
      <c r="T145" s="155"/>
    </row>
    <row r="146" spans="1:20" ht="66" customHeight="1" x14ac:dyDescent="0.25">
      <c r="A146" s="407"/>
      <c r="B146" s="203" t="s">
        <v>580</v>
      </c>
      <c r="C146" s="151">
        <f t="shared" si="27"/>
        <v>25</v>
      </c>
      <c r="D146" s="168"/>
      <c r="E146" s="155"/>
      <c r="F146" s="154">
        <v>25</v>
      </c>
      <c r="G146" s="152"/>
      <c r="H146" s="168"/>
      <c r="I146" s="151">
        <f t="shared" si="28"/>
        <v>25</v>
      </c>
      <c r="J146" s="155"/>
      <c r="K146" s="155"/>
      <c r="L146" s="155">
        <v>25</v>
      </c>
      <c r="M146" s="155"/>
      <c r="N146" s="155"/>
      <c r="O146" s="151">
        <f t="shared" si="29"/>
        <v>25</v>
      </c>
      <c r="P146" s="155"/>
      <c r="Q146" s="155"/>
      <c r="R146" s="155">
        <v>25</v>
      </c>
      <c r="S146" s="155"/>
      <c r="T146" s="155"/>
    </row>
    <row r="147" spans="1:20" ht="83.25" hidden="1" customHeight="1" x14ac:dyDescent="0.25">
      <c r="A147" s="407"/>
      <c r="B147" s="203" t="s">
        <v>942</v>
      </c>
      <c r="C147" s="151">
        <f>SUM(D147:H147)</f>
        <v>0</v>
      </c>
      <c r="D147" s="168"/>
      <c r="E147" s="155"/>
      <c r="F147" s="154"/>
      <c r="G147" s="152"/>
      <c r="H147" s="168"/>
      <c r="I147" s="151">
        <f>SUM(J147:N147)</f>
        <v>0</v>
      </c>
      <c r="J147" s="155"/>
      <c r="K147" s="155"/>
      <c r="L147" s="155"/>
      <c r="M147" s="155"/>
      <c r="N147" s="155"/>
      <c r="O147" s="151">
        <f>SUM(P147:T147)</f>
        <v>0</v>
      </c>
      <c r="P147" s="155"/>
      <c r="Q147" s="155"/>
      <c r="R147" s="155"/>
      <c r="S147" s="155"/>
      <c r="T147" s="155"/>
    </row>
    <row r="148" spans="1:20" ht="66" hidden="1" customHeight="1" x14ac:dyDescent="0.25">
      <c r="A148" s="407"/>
      <c r="B148" s="203" t="s">
        <v>943</v>
      </c>
      <c r="C148" s="151">
        <f>SUM(D148:H148)</f>
        <v>0</v>
      </c>
      <c r="D148" s="168"/>
      <c r="E148" s="155"/>
      <c r="F148" s="154"/>
      <c r="G148" s="152"/>
      <c r="H148" s="168"/>
      <c r="I148" s="151">
        <f>SUM(J148:N148)</f>
        <v>0</v>
      </c>
      <c r="J148" s="155"/>
      <c r="K148" s="155"/>
      <c r="L148" s="155"/>
      <c r="M148" s="155"/>
      <c r="N148" s="155"/>
      <c r="O148" s="151">
        <f>SUM(P148:T148)</f>
        <v>0</v>
      </c>
      <c r="P148" s="155"/>
      <c r="Q148" s="155"/>
      <c r="R148" s="155"/>
      <c r="S148" s="155"/>
      <c r="T148" s="155"/>
    </row>
    <row r="149" spans="1:20" ht="31.5" hidden="1" customHeight="1" x14ac:dyDescent="0.25">
      <c r="A149" s="407"/>
      <c r="B149" s="204" t="s">
        <v>581</v>
      </c>
      <c r="C149" s="151">
        <f t="shared" si="27"/>
        <v>0</v>
      </c>
      <c r="D149" s="155"/>
      <c r="E149" s="200"/>
      <c r="F149" s="200">
        <f>F150</f>
        <v>0</v>
      </c>
      <c r="G149" s="152"/>
      <c r="H149" s="168"/>
      <c r="I149" s="151">
        <f t="shared" si="28"/>
        <v>0</v>
      </c>
      <c r="J149" s="155"/>
      <c r="K149" s="200"/>
      <c r="L149" s="201"/>
      <c r="M149" s="155"/>
      <c r="N149" s="200"/>
      <c r="O149" s="151">
        <f t="shared" si="29"/>
        <v>0</v>
      </c>
      <c r="P149" s="155"/>
      <c r="Q149" s="155"/>
      <c r="R149" s="201"/>
      <c r="S149" s="155"/>
      <c r="T149" s="155"/>
    </row>
    <row r="150" spans="1:20" ht="126" hidden="1" x14ac:dyDescent="0.25">
      <c r="A150" s="407"/>
      <c r="B150" s="388" t="s">
        <v>582</v>
      </c>
      <c r="C150" s="151">
        <f t="shared" si="27"/>
        <v>0</v>
      </c>
      <c r="D150" s="155"/>
      <c r="E150" s="155"/>
      <c r="F150" s="200">
        <v>0</v>
      </c>
      <c r="G150" s="152"/>
      <c r="H150" s="168"/>
      <c r="I150" s="151">
        <f t="shared" si="28"/>
        <v>0</v>
      </c>
      <c r="J150" s="155"/>
      <c r="K150" s="155"/>
      <c r="L150" s="152"/>
      <c r="M150" s="155"/>
      <c r="N150" s="155"/>
      <c r="O150" s="151">
        <f t="shared" si="29"/>
        <v>0</v>
      </c>
      <c r="P150" s="155"/>
      <c r="Q150" s="155"/>
      <c r="R150" s="152"/>
      <c r="S150" s="155"/>
      <c r="T150" s="155"/>
    </row>
    <row r="151" spans="1:20" hidden="1" x14ac:dyDescent="0.25">
      <c r="A151" s="407"/>
      <c r="B151" s="205" t="s">
        <v>583</v>
      </c>
      <c r="C151" s="151">
        <f t="shared" si="27"/>
        <v>0</v>
      </c>
      <c r="D151" s="155"/>
      <c r="E151" s="155"/>
      <c r="F151" s="389">
        <v>0</v>
      </c>
      <c r="G151" s="152"/>
      <c r="H151" s="168"/>
      <c r="I151" s="151">
        <f t="shared" si="28"/>
        <v>0</v>
      </c>
      <c r="J151" s="155"/>
      <c r="K151" s="155"/>
      <c r="L151" s="402"/>
      <c r="M151" s="155"/>
      <c r="N151" s="155"/>
      <c r="O151" s="151">
        <f t="shared" si="29"/>
        <v>0</v>
      </c>
      <c r="P151" s="155"/>
      <c r="Q151" s="155"/>
      <c r="R151" s="402"/>
      <c r="S151" s="155"/>
      <c r="T151" s="155"/>
    </row>
    <row r="152" spans="1:20" ht="78.75" hidden="1" x14ac:dyDescent="0.25">
      <c r="A152" s="407"/>
      <c r="B152" s="388" t="s">
        <v>584</v>
      </c>
      <c r="C152" s="151">
        <f t="shared" si="27"/>
        <v>0</v>
      </c>
      <c r="D152" s="155"/>
      <c r="E152" s="155"/>
      <c r="F152" s="389">
        <v>0</v>
      </c>
      <c r="G152" s="152"/>
      <c r="H152" s="168"/>
      <c r="I152" s="151">
        <f t="shared" si="28"/>
        <v>0</v>
      </c>
      <c r="J152" s="155"/>
      <c r="K152" s="155"/>
      <c r="L152" s="402"/>
      <c r="M152" s="155"/>
      <c r="N152" s="155"/>
      <c r="O152" s="151">
        <f t="shared" si="29"/>
        <v>0</v>
      </c>
      <c r="P152" s="155"/>
      <c r="Q152" s="155"/>
      <c r="R152" s="402"/>
      <c r="S152" s="155"/>
      <c r="T152" s="155"/>
    </row>
    <row r="153" spans="1:20" ht="47.25" x14ac:dyDescent="0.25">
      <c r="A153" s="407"/>
      <c r="B153" s="189" t="s">
        <v>371</v>
      </c>
      <c r="C153" s="151">
        <f t="shared" si="27"/>
        <v>380.08000000000004</v>
      </c>
      <c r="D153" s="155"/>
      <c r="E153" s="155"/>
      <c r="F153" s="200">
        <f>SUM(F154:F162)</f>
        <v>380.08000000000004</v>
      </c>
      <c r="G153" s="152"/>
      <c r="H153" s="168"/>
      <c r="I153" s="151">
        <f t="shared" si="28"/>
        <v>299.40500000000003</v>
      </c>
      <c r="J153" s="155"/>
      <c r="K153" s="155"/>
      <c r="L153" s="200">
        <f>SUM(L154:L162)</f>
        <v>299.40500000000003</v>
      </c>
      <c r="M153" s="155"/>
      <c r="N153" s="168"/>
      <c r="O153" s="151">
        <f t="shared" si="29"/>
        <v>290.48500000000001</v>
      </c>
      <c r="P153" s="155"/>
      <c r="Q153" s="155"/>
      <c r="R153" s="200">
        <f>SUM(R154:R162)</f>
        <v>290.48500000000001</v>
      </c>
      <c r="S153" s="155"/>
      <c r="T153" s="155"/>
    </row>
    <row r="154" spans="1:20" ht="126" x14ac:dyDescent="0.25">
      <c r="A154" s="407"/>
      <c r="B154" s="169" t="s">
        <v>585</v>
      </c>
      <c r="C154" s="151">
        <f t="shared" si="27"/>
        <v>100</v>
      </c>
      <c r="D154" s="155"/>
      <c r="E154" s="155"/>
      <c r="F154" s="154">
        <v>100</v>
      </c>
      <c r="G154" s="154"/>
      <c r="H154" s="155"/>
      <c r="I154" s="151">
        <f t="shared" si="28"/>
        <v>145</v>
      </c>
      <c r="J154" s="155"/>
      <c r="K154" s="155"/>
      <c r="L154" s="402">
        <v>145</v>
      </c>
      <c r="M154" s="155"/>
      <c r="N154" s="155"/>
      <c r="O154" s="151">
        <f t="shared" si="29"/>
        <v>145</v>
      </c>
      <c r="P154" s="155"/>
      <c r="Q154" s="155"/>
      <c r="R154" s="154">
        <v>145</v>
      </c>
      <c r="S154" s="155"/>
      <c r="T154" s="155"/>
    </row>
    <row r="155" spans="1:20" ht="110.25" x14ac:dyDescent="0.25">
      <c r="A155" s="407"/>
      <c r="B155" s="169" t="s">
        <v>586</v>
      </c>
      <c r="C155" s="151">
        <f t="shared" si="27"/>
        <v>50</v>
      </c>
      <c r="D155" s="155"/>
      <c r="E155" s="155"/>
      <c r="F155" s="154">
        <v>50</v>
      </c>
      <c r="G155" s="154"/>
      <c r="H155" s="155"/>
      <c r="I155" s="151">
        <f t="shared" si="28"/>
        <v>0</v>
      </c>
      <c r="J155" s="155"/>
      <c r="K155" s="155"/>
      <c r="L155" s="402"/>
      <c r="M155" s="155"/>
      <c r="N155" s="155"/>
      <c r="O155" s="151">
        <f t="shared" si="29"/>
        <v>0</v>
      </c>
      <c r="P155" s="155"/>
      <c r="Q155" s="155"/>
      <c r="R155" s="402"/>
      <c r="S155" s="155"/>
      <c r="T155" s="155"/>
    </row>
    <row r="156" spans="1:20" ht="78.75" hidden="1" x14ac:dyDescent="0.25">
      <c r="A156" s="407"/>
      <c r="B156" s="169" t="s">
        <v>944</v>
      </c>
      <c r="C156" s="151">
        <f t="shared" si="27"/>
        <v>0</v>
      </c>
      <c r="D156" s="155"/>
      <c r="E156" s="155"/>
      <c r="F156" s="154">
        <v>0</v>
      </c>
      <c r="G156" s="154"/>
      <c r="H156" s="155"/>
      <c r="I156" s="151"/>
      <c r="J156" s="155"/>
      <c r="K156" s="155"/>
      <c r="L156" s="402"/>
      <c r="M156" s="155"/>
      <c r="N156" s="155"/>
      <c r="O156" s="151"/>
      <c r="P156" s="155"/>
      <c r="Q156" s="155"/>
      <c r="R156" s="402"/>
      <c r="S156" s="155"/>
      <c r="T156" s="155"/>
    </row>
    <row r="157" spans="1:20" ht="100.5" customHeight="1" x14ac:dyDescent="0.25">
      <c r="A157" s="407"/>
      <c r="B157" s="169" t="s">
        <v>587</v>
      </c>
      <c r="C157" s="151">
        <f t="shared" si="27"/>
        <v>50</v>
      </c>
      <c r="D157" s="155"/>
      <c r="E157" s="155"/>
      <c r="F157" s="154">
        <v>50</v>
      </c>
      <c r="G157" s="154"/>
      <c r="H157" s="155"/>
      <c r="I157" s="151">
        <f t="shared" si="28"/>
        <v>35.5</v>
      </c>
      <c r="J157" s="155"/>
      <c r="K157" s="155"/>
      <c r="L157" s="402">
        <v>35.5</v>
      </c>
      <c r="M157" s="155"/>
      <c r="N157" s="155"/>
      <c r="O157" s="151">
        <f t="shared" si="29"/>
        <v>29.5</v>
      </c>
      <c r="P157" s="155"/>
      <c r="Q157" s="155"/>
      <c r="R157" s="154">
        <v>29.5</v>
      </c>
      <c r="S157" s="155"/>
      <c r="T157" s="155"/>
    </row>
    <row r="158" spans="1:20" ht="47.25" x14ac:dyDescent="0.25">
      <c r="A158" s="407"/>
      <c r="B158" s="169" t="s">
        <v>588</v>
      </c>
      <c r="C158" s="151">
        <f t="shared" si="27"/>
        <v>30</v>
      </c>
      <c r="D158" s="155"/>
      <c r="E158" s="155"/>
      <c r="F158" s="154">
        <v>30</v>
      </c>
      <c r="G158" s="154"/>
      <c r="H158" s="155"/>
      <c r="I158" s="151">
        <f t="shared" si="28"/>
        <v>0</v>
      </c>
      <c r="J158" s="155"/>
      <c r="K158" s="155"/>
      <c r="L158" s="402"/>
      <c r="M158" s="155"/>
      <c r="N158" s="155"/>
      <c r="O158" s="151">
        <f t="shared" si="29"/>
        <v>0</v>
      </c>
      <c r="P158" s="155"/>
      <c r="Q158" s="155"/>
      <c r="R158" s="405"/>
      <c r="S158" s="155"/>
      <c r="T158" s="155"/>
    </row>
    <row r="159" spans="1:20" ht="94.5" x14ac:dyDescent="0.25">
      <c r="A159" s="407"/>
      <c r="B159" s="169" t="s">
        <v>589</v>
      </c>
      <c r="C159" s="151">
        <f t="shared" si="27"/>
        <v>83</v>
      </c>
      <c r="D159" s="155"/>
      <c r="E159" s="168"/>
      <c r="F159" s="389">
        <v>83</v>
      </c>
      <c r="G159" s="194"/>
      <c r="H159" s="206"/>
      <c r="I159" s="151">
        <f t="shared" si="28"/>
        <v>51.825000000000003</v>
      </c>
      <c r="J159" s="155"/>
      <c r="K159" s="168"/>
      <c r="L159" s="402">
        <v>51.825000000000003</v>
      </c>
      <c r="M159" s="155"/>
      <c r="N159" s="155"/>
      <c r="O159" s="151">
        <f t="shared" si="29"/>
        <v>48.905000000000001</v>
      </c>
      <c r="P159" s="155"/>
      <c r="Q159" s="155"/>
      <c r="R159" s="402">
        <v>48.905000000000001</v>
      </c>
      <c r="S159" s="155"/>
      <c r="T159" s="155"/>
    </row>
    <row r="160" spans="1:20" ht="47.25" x14ac:dyDescent="0.25">
      <c r="A160" s="407"/>
      <c r="B160" s="207" t="s">
        <v>590</v>
      </c>
      <c r="C160" s="151">
        <f t="shared" si="27"/>
        <v>33.6</v>
      </c>
      <c r="D160" s="155"/>
      <c r="E160" s="168"/>
      <c r="F160" s="389">
        <v>33.6</v>
      </c>
      <c r="G160" s="194"/>
      <c r="H160" s="206"/>
      <c r="I160" s="151">
        <f t="shared" si="28"/>
        <v>33.6</v>
      </c>
      <c r="J160" s="155"/>
      <c r="K160" s="168"/>
      <c r="L160" s="402">
        <v>33.6</v>
      </c>
      <c r="M160" s="155"/>
      <c r="N160" s="155"/>
      <c r="O160" s="151">
        <f t="shared" si="29"/>
        <v>33.6</v>
      </c>
      <c r="P160" s="155"/>
      <c r="Q160" s="155"/>
      <c r="R160" s="402">
        <v>33.6</v>
      </c>
      <c r="S160" s="155"/>
      <c r="T160" s="155"/>
    </row>
    <row r="161" spans="1:26" ht="31.5" x14ac:dyDescent="0.25">
      <c r="A161" s="407"/>
      <c r="B161" s="207" t="s">
        <v>591</v>
      </c>
      <c r="C161" s="151">
        <f t="shared" si="27"/>
        <v>16</v>
      </c>
      <c r="D161" s="155"/>
      <c r="E161" s="168"/>
      <c r="F161" s="389">
        <v>16</v>
      </c>
      <c r="G161" s="194"/>
      <c r="H161" s="206"/>
      <c r="I161" s="151">
        <f t="shared" si="28"/>
        <v>16</v>
      </c>
      <c r="J161" s="155"/>
      <c r="K161" s="168"/>
      <c r="L161" s="402">
        <v>16</v>
      </c>
      <c r="M161" s="155"/>
      <c r="N161" s="155"/>
      <c r="O161" s="151">
        <f t="shared" si="29"/>
        <v>16</v>
      </c>
      <c r="P161" s="155"/>
      <c r="Q161" s="155"/>
      <c r="R161" s="402">
        <v>16</v>
      </c>
      <c r="S161" s="155"/>
      <c r="T161" s="155"/>
    </row>
    <row r="162" spans="1:26" ht="63" x14ac:dyDescent="0.25">
      <c r="A162" s="407"/>
      <c r="B162" s="207" t="s">
        <v>592</v>
      </c>
      <c r="C162" s="151">
        <f t="shared" si="27"/>
        <v>17.48</v>
      </c>
      <c r="D162" s="155"/>
      <c r="E162" s="168"/>
      <c r="F162" s="389">
        <v>17.48</v>
      </c>
      <c r="G162" s="194"/>
      <c r="H162" s="206"/>
      <c r="I162" s="151">
        <f t="shared" si="28"/>
        <v>17.48</v>
      </c>
      <c r="J162" s="155"/>
      <c r="K162" s="168"/>
      <c r="L162" s="402">
        <v>17.48</v>
      </c>
      <c r="M162" s="155"/>
      <c r="N162" s="155"/>
      <c r="O162" s="151">
        <f t="shared" si="29"/>
        <v>17.48</v>
      </c>
      <c r="P162" s="155"/>
      <c r="Q162" s="155"/>
      <c r="R162" s="402">
        <v>17.48</v>
      </c>
      <c r="S162" s="155"/>
      <c r="T162" s="155"/>
    </row>
    <row r="163" spans="1:26" ht="31.5" x14ac:dyDescent="0.25">
      <c r="A163" s="407"/>
      <c r="B163" s="189" t="s">
        <v>373</v>
      </c>
      <c r="C163" s="151">
        <f t="shared" si="27"/>
        <v>25</v>
      </c>
      <c r="D163" s="155"/>
      <c r="E163" s="155"/>
      <c r="F163" s="200">
        <f>SUM(F164)</f>
        <v>25</v>
      </c>
      <c r="G163" s="154"/>
      <c r="H163" s="155"/>
      <c r="I163" s="151">
        <f t="shared" si="28"/>
        <v>197.13299999999998</v>
      </c>
      <c r="J163" s="155"/>
      <c r="K163" s="155"/>
      <c r="L163" s="201">
        <f>SUM(L164:L166)</f>
        <v>197.13299999999998</v>
      </c>
      <c r="M163" s="155"/>
      <c r="N163" s="155"/>
      <c r="O163" s="151">
        <f t="shared" si="29"/>
        <v>180.32299999999998</v>
      </c>
      <c r="P163" s="155"/>
      <c r="Q163" s="155"/>
      <c r="R163" s="201">
        <f>SUM(R164:R166)</f>
        <v>180.32299999999998</v>
      </c>
      <c r="S163" s="155"/>
      <c r="T163" s="155"/>
    </row>
    <row r="164" spans="1:26" ht="78.75" x14ac:dyDescent="0.25">
      <c r="A164" s="407"/>
      <c r="B164" s="388" t="s">
        <v>593</v>
      </c>
      <c r="C164" s="151">
        <f t="shared" si="27"/>
        <v>25</v>
      </c>
      <c r="D164" s="155"/>
      <c r="E164" s="155"/>
      <c r="F164" s="154">
        <v>25</v>
      </c>
      <c r="G164" s="154"/>
      <c r="H164" s="155"/>
      <c r="I164" s="151">
        <f t="shared" si="28"/>
        <v>4.5199999999999996</v>
      </c>
      <c r="J164" s="155"/>
      <c r="K164" s="155"/>
      <c r="L164" s="402">
        <v>4.5199999999999996</v>
      </c>
      <c r="M164" s="155"/>
      <c r="N164" s="155"/>
      <c r="O164" s="151">
        <f t="shared" si="29"/>
        <v>4.5199999999999996</v>
      </c>
      <c r="P164" s="155"/>
      <c r="Q164" s="155"/>
      <c r="R164" s="405">
        <v>4.5199999999999996</v>
      </c>
      <c r="S164" s="155"/>
      <c r="T164" s="155"/>
    </row>
    <row r="165" spans="1:26" ht="47.25" x14ac:dyDescent="0.25">
      <c r="A165" s="407"/>
      <c r="B165" s="207" t="s">
        <v>594</v>
      </c>
      <c r="C165" s="151">
        <f t="shared" si="27"/>
        <v>0</v>
      </c>
      <c r="D165" s="155"/>
      <c r="E165" s="155"/>
      <c r="F165" s="154"/>
      <c r="G165" s="155"/>
      <c r="H165" s="155"/>
      <c r="I165" s="151">
        <f t="shared" si="28"/>
        <v>50.921599999999998</v>
      </c>
      <c r="J165" s="155"/>
      <c r="K165" s="155"/>
      <c r="L165" s="402">
        <v>50.921599999999998</v>
      </c>
      <c r="M165" s="155"/>
      <c r="N165" s="155"/>
      <c r="O165" s="151">
        <f t="shared" si="29"/>
        <v>50</v>
      </c>
      <c r="P165" s="155"/>
      <c r="Q165" s="155"/>
      <c r="R165" s="405">
        <v>50</v>
      </c>
      <c r="S165" s="155"/>
      <c r="T165" s="155"/>
    </row>
    <row r="166" spans="1:26" ht="63" x14ac:dyDescent="0.25">
      <c r="A166" s="407"/>
      <c r="B166" s="207" t="s">
        <v>595</v>
      </c>
      <c r="C166" s="151">
        <f t="shared" si="27"/>
        <v>0</v>
      </c>
      <c r="D166" s="155"/>
      <c r="E166" s="155"/>
      <c r="F166" s="154"/>
      <c r="G166" s="155"/>
      <c r="H166" s="155"/>
      <c r="I166" s="151">
        <f t="shared" si="28"/>
        <v>141.69139999999999</v>
      </c>
      <c r="J166" s="155"/>
      <c r="K166" s="155"/>
      <c r="L166" s="402">
        <v>141.69139999999999</v>
      </c>
      <c r="M166" s="155"/>
      <c r="N166" s="155"/>
      <c r="O166" s="151">
        <f t="shared" si="29"/>
        <v>125.803</v>
      </c>
      <c r="P166" s="155"/>
      <c r="Q166" s="155"/>
      <c r="R166" s="402">
        <v>125.803</v>
      </c>
      <c r="S166" s="155"/>
      <c r="T166" s="155"/>
    </row>
    <row r="167" spans="1:26" x14ac:dyDescent="0.25">
      <c r="A167" s="407"/>
      <c r="B167" s="208" t="s">
        <v>596</v>
      </c>
      <c r="C167" s="151">
        <f t="shared" si="27"/>
        <v>0</v>
      </c>
      <c r="D167" s="155"/>
      <c r="E167" s="155"/>
      <c r="F167" s="154"/>
      <c r="G167" s="155"/>
      <c r="H167" s="168"/>
      <c r="I167" s="151">
        <f t="shared" si="28"/>
        <v>25</v>
      </c>
      <c r="J167" s="155"/>
      <c r="K167" s="155"/>
      <c r="L167" s="402">
        <f>L168</f>
        <v>25</v>
      </c>
      <c r="M167" s="155"/>
      <c r="N167" s="155"/>
      <c r="O167" s="151">
        <f t="shared" si="29"/>
        <v>25</v>
      </c>
      <c r="P167" s="155"/>
      <c r="Q167" s="155"/>
      <c r="R167" s="405">
        <f>R168</f>
        <v>25</v>
      </c>
      <c r="S167" s="155"/>
      <c r="T167" s="155"/>
    </row>
    <row r="168" spans="1:26" ht="47.25" x14ac:dyDescent="0.25">
      <c r="A168" s="407"/>
      <c r="B168" s="207" t="s">
        <v>597</v>
      </c>
      <c r="C168" s="151">
        <f t="shared" si="27"/>
        <v>0</v>
      </c>
      <c r="D168" s="155"/>
      <c r="E168" s="155"/>
      <c r="F168" s="154"/>
      <c r="G168" s="155"/>
      <c r="H168" s="155"/>
      <c r="I168" s="151">
        <f t="shared" si="28"/>
        <v>25</v>
      </c>
      <c r="J168" s="155"/>
      <c r="K168" s="155"/>
      <c r="L168" s="402">
        <v>25</v>
      </c>
      <c r="M168" s="155"/>
      <c r="N168" s="155"/>
      <c r="O168" s="151">
        <f t="shared" si="29"/>
        <v>25</v>
      </c>
      <c r="P168" s="155"/>
      <c r="Q168" s="155"/>
      <c r="R168" s="405">
        <v>25</v>
      </c>
      <c r="S168" s="155"/>
      <c r="T168" s="155"/>
    </row>
    <row r="169" spans="1:26" s="596" customFormat="1" ht="47.25" x14ac:dyDescent="0.3">
      <c r="A169" s="591">
        <v>14</v>
      </c>
      <c r="B169" s="643" t="s">
        <v>1379</v>
      </c>
      <c r="C169" s="593">
        <f t="shared" ref="C169:C174" si="30">SUM(D169:H169)</f>
        <v>200</v>
      </c>
      <c r="D169" s="634"/>
      <c r="E169" s="634"/>
      <c r="F169" s="634">
        <f>SUM(F170+F171+F174)</f>
        <v>200</v>
      </c>
      <c r="G169" s="634"/>
      <c r="H169" s="634"/>
      <c r="I169" s="593">
        <f t="shared" ref="I169:I174" si="31">SUM(J169:N169)</f>
        <v>187</v>
      </c>
      <c r="J169" s="634"/>
      <c r="K169" s="634"/>
      <c r="L169" s="634">
        <f>SUM(L170+L171+L174)</f>
        <v>187</v>
      </c>
      <c r="M169" s="634"/>
      <c r="N169" s="634"/>
      <c r="O169" s="593">
        <f t="shared" ref="O169:O174" si="32">SUM(P169:T169)</f>
        <v>187</v>
      </c>
      <c r="P169" s="634"/>
      <c r="Q169" s="634"/>
      <c r="R169" s="634">
        <f>SUM(R170+R171+R174)</f>
        <v>187</v>
      </c>
      <c r="S169" s="634"/>
      <c r="T169" s="634"/>
      <c r="U169" s="594">
        <f>I169/4*4</f>
        <v>187</v>
      </c>
      <c r="V169" s="595">
        <f>O169/U169*100</f>
        <v>100</v>
      </c>
      <c r="Y169" s="597">
        <f>I169-L169</f>
        <v>0</v>
      </c>
      <c r="Z169" s="597">
        <f>Y169/I169*100</f>
        <v>0</v>
      </c>
    </row>
    <row r="170" spans="1:26" ht="84.75" customHeight="1" x14ac:dyDescent="0.25">
      <c r="A170" s="407"/>
      <c r="B170" s="209" t="s">
        <v>598</v>
      </c>
      <c r="C170" s="151">
        <f t="shared" si="30"/>
        <v>120</v>
      </c>
      <c r="D170" s="155"/>
      <c r="E170" s="155"/>
      <c r="F170" s="168">
        <v>120</v>
      </c>
      <c r="G170" s="155"/>
      <c r="H170" s="155"/>
      <c r="I170" s="151">
        <f t="shared" si="31"/>
        <v>120</v>
      </c>
      <c r="J170" s="155"/>
      <c r="K170" s="155"/>
      <c r="L170" s="155">
        <v>120</v>
      </c>
      <c r="M170" s="155"/>
      <c r="N170" s="155"/>
      <c r="O170" s="151">
        <f t="shared" si="32"/>
        <v>120</v>
      </c>
      <c r="P170" s="155"/>
      <c r="Q170" s="155"/>
      <c r="R170" s="155">
        <v>120</v>
      </c>
      <c r="S170" s="155"/>
      <c r="T170" s="155"/>
    </row>
    <row r="171" spans="1:26" ht="31.5" x14ac:dyDescent="0.25">
      <c r="A171" s="407"/>
      <c r="B171" s="167" t="s">
        <v>1284</v>
      </c>
      <c r="C171" s="151">
        <f t="shared" si="30"/>
        <v>40</v>
      </c>
      <c r="D171" s="155"/>
      <c r="E171" s="155"/>
      <c r="F171" s="168">
        <f>SUM(F172:F173)</f>
        <v>40</v>
      </c>
      <c r="G171" s="155"/>
      <c r="H171" s="155"/>
      <c r="I171" s="151">
        <f t="shared" si="31"/>
        <v>40</v>
      </c>
      <c r="J171" s="168"/>
      <c r="K171" s="168"/>
      <c r="L171" s="168">
        <f>SUM(L172:L173)</f>
        <v>40</v>
      </c>
      <c r="M171" s="168"/>
      <c r="N171" s="168"/>
      <c r="O171" s="151">
        <f t="shared" si="32"/>
        <v>40</v>
      </c>
      <c r="P171" s="168"/>
      <c r="Q171" s="168"/>
      <c r="R171" s="168">
        <f>SUM(R172:R173)</f>
        <v>40</v>
      </c>
      <c r="S171" s="168"/>
      <c r="T171" s="155"/>
    </row>
    <row r="172" spans="1:26" ht="66.75" customHeight="1" x14ac:dyDescent="0.25">
      <c r="A172" s="407"/>
      <c r="B172" s="178" t="s">
        <v>600</v>
      </c>
      <c r="C172" s="151">
        <f t="shared" si="30"/>
        <v>20</v>
      </c>
      <c r="D172" s="155"/>
      <c r="E172" s="155"/>
      <c r="F172" s="155">
        <v>20</v>
      </c>
      <c r="G172" s="155"/>
      <c r="H172" s="155"/>
      <c r="I172" s="151">
        <f t="shared" si="31"/>
        <v>20</v>
      </c>
      <c r="J172" s="155"/>
      <c r="K172" s="155"/>
      <c r="L172" s="154">
        <v>20</v>
      </c>
      <c r="M172" s="155"/>
      <c r="N172" s="155"/>
      <c r="O172" s="151">
        <f t="shared" si="32"/>
        <v>20</v>
      </c>
      <c r="P172" s="155"/>
      <c r="Q172" s="155"/>
      <c r="R172" s="154">
        <v>20</v>
      </c>
      <c r="S172" s="155"/>
      <c r="T172" s="155"/>
    </row>
    <row r="173" spans="1:26" ht="63" x14ac:dyDescent="0.25">
      <c r="A173" s="407"/>
      <c r="B173" s="171" t="s">
        <v>1283</v>
      </c>
      <c r="C173" s="151">
        <f t="shared" si="30"/>
        <v>20</v>
      </c>
      <c r="D173" s="155"/>
      <c r="E173" s="155"/>
      <c r="F173" s="155">
        <v>20</v>
      </c>
      <c r="G173" s="155"/>
      <c r="H173" s="155"/>
      <c r="I173" s="151">
        <f t="shared" si="31"/>
        <v>20</v>
      </c>
      <c r="J173" s="155"/>
      <c r="K173" s="155"/>
      <c r="L173" s="154">
        <v>20</v>
      </c>
      <c r="M173" s="155"/>
      <c r="N173" s="155"/>
      <c r="O173" s="151">
        <f t="shared" si="32"/>
        <v>20</v>
      </c>
      <c r="P173" s="155"/>
      <c r="Q173" s="155"/>
      <c r="R173" s="154">
        <v>20</v>
      </c>
      <c r="S173" s="155"/>
      <c r="T173" s="155"/>
    </row>
    <row r="174" spans="1:26" ht="47.25" x14ac:dyDescent="0.25">
      <c r="A174" s="407"/>
      <c r="B174" s="209" t="s">
        <v>602</v>
      </c>
      <c r="C174" s="151">
        <f t="shared" si="30"/>
        <v>40</v>
      </c>
      <c r="D174" s="168"/>
      <c r="E174" s="168"/>
      <c r="F174" s="168">
        <v>40</v>
      </c>
      <c r="G174" s="168"/>
      <c r="H174" s="168"/>
      <c r="I174" s="151">
        <f t="shared" si="31"/>
        <v>27</v>
      </c>
      <c r="J174" s="168"/>
      <c r="K174" s="168"/>
      <c r="L174" s="152">
        <v>27</v>
      </c>
      <c r="M174" s="168"/>
      <c r="N174" s="168"/>
      <c r="O174" s="151">
        <f t="shared" si="32"/>
        <v>27</v>
      </c>
      <c r="P174" s="168"/>
      <c r="Q174" s="168"/>
      <c r="R174" s="152">
        <v>27</v>
      </c>
      <c r="S174" s="155"/>
      <c r="T174" s="155"/>
    </row>
    <row r="175" spans="1:26" s="596" customFormat="1" ht="63" x14ac:dyDescent="0.3">
      <c r="A175" s="591">
        <v>15</v>
      </c>
      <c r="B175" s="592" t="s">
        <v>1328</v>
      </c>
      <c r="C175" s="593">
        <f>SUM(D175:H175)</f>
        <v>11220.66</v>
      </c>
      <c r="D175" s="593"/>
      <c r="E175" s="593"/>
      <c r="F175" s="593">
        <f>SUM(F176+F177+F183)</f>
        <v>11220.66</v>
      </c>
      <c r="G175" s="593"/>
      <c r="H175" s="593"/>
      <c r="I175" s="593">
        <f>SUM(J175:N175)</f>
        <v>11644.83</v>
      </c>
      <c r="J175" s="593"/>
      <c r="K175" s="593"/>
      <c r="L175" s="593">
        <f>SUM(L176+L177+L183)</f>
        <v>11644.83</v>
      </c>
      <c r="M175" s="593"/>
      <c r="N175" s="593"/>
      <c r="O175" s="593">
        <f t="shared" ref="O175:O194" si="33">SUM(P175:T175)</f>
        <v>11532.13</v>
      </c>
      <c r="P175" s="593"/>
      <c r="Q175" s="593"/>
      <c r="R175" s="593">
        <f>SUM(R176+R177+R183)</f>
        <v>11532.13</v>
      </c>
      <c r="S175" s="593"/>
      <c r="T175" s="593"/>
      <c r="U175" s="594">
        <f>I175/4*4</f>
        <v>11644.83</v>
      </c>
      <c r="V175" s="595">
        <f>O175/U175*100</f>
        <v>99.032188533452185</v>
      </c>
      <c r="Y175" s="597">
        <f>I175-L175</f>
        <v>0</v>
      </c>
      <c r="Z175" s="597">
        <f>Y175/I175*100</f>
        <v>0</v>
      </c>
    </row>
    <row r="176" spans="1:26" x14ac:dyDescent="0.25">
      <c r="A176" s="407"/>
      <c r="B176" s="396" t="s">
        <v>519</v>
      </c>
      <c r="C176" s="151">
        <f t="shared" ref="C176:C194" si="34">SUM(D176:H176)</f>
        <v>10400.66</v>
      </c>
      <c r="D176" s="155"/>
      <c r="E176" s="168"/>
      <c r="F176" s="206">
        <v>10400.66</v>
      </c>
      <c r="G176" s="168"/>
      <c r="H176" s="168"/>
      <c r="I176" s="151">
        <f t="shared" ref="I176:I194" si="35">SUM(J176:N176)</f>
        <v>10234.93</v>
      </c>
      <c r="J176" s="168"/>
      <c r="K176" s="168"/>
      <c r="L176" s="152">
        <v>10234.93</v>
      </c>
      <c r="M176" s="168"/>
      <c r="N176" s="168"/>
      <c r="O176" s="151">
        <f t="shared" si="33"/>
        <v>10221.92</v>
      </c>
      <c r="P176" s="168"/>
      <c r="Q176" s="168"/>
      <c r="R176" s="152">
        <v>10221.92</v>
      </c>
      <c r="S176" s="168"/>
      <c r="T176" s="168"/>
    </row>
    <row r="177" spans="1:26" ht="31.5" x14ac:dyDescent="0.25">
      <c r="A177" s="407"/>
      <c r="B177" s="415" t="s">
        <v>603</v>
      </c>
      <c r="C177" s="151">
        <f t="shared" si="34"/>
        <v>230</v>
      </c>
      <c r="D177" s="155"/>
      <c r="E177" s="168"/>
      <c r="F177" s="206">
        <v>230</v>
      </c>
      <c r="G177" s="168"/>
      <c r="H177" s="168"/>
      <c r="I177" s="151">
        <f t="shared" si="35"/>
        <v>392</v>
      </c>
      <c r="J177" s="168"/>
      <c r="K177" s="168"/>
      <c r="L177" s="168">
        <f>L178</f>
        <v>392</v>
      </c>
      <c r="M177" s="168"/>
      <c r="N177" s="168"/>
      <c r="O177" s="151">
        <f t="shared" si="33"/>
        <v>382.31</v>
      </c>
      <c r="P177" s="168"/>
      <c r="Q177" s="168"/>
      <c r="R177" s="152">
        <f>R178</f>
        <v>382.31</v>
      </c>
      <c r="S177" s="155"/>
      <c r="T177" s="168"/>
    </row>
    <row r="178" spans="1:26" ht="47.25" x14ac:dyDescent="0.25">
      <c r="A178" s="407"/>
      <c r="B178" s="210" t="s">
        <v>604</v>
      </c>
      <c r="C178" s="151">
        <f t="shared" si="34"/>
        <v>230</v>
      </c>
      <c r="D178" s="206"/>
      <c r="E178" s="206"/>
      <c r="F178" s="206">
        <f>SUM(F179:F181)</f>
        <v>230</v>
      </c>
      <c r="G178" s="206"/>
      <c r="H178" s="206"/>
      <c r="I178" s="151">
        <f t="shared" si="35"/>
        <v>392</v>
      </c>
      <c r="J178" s="206"/>
      <c r="K178" s="206"/>
      <c r="L178" s="206">
        <f>SUM(L179:L182)</f>
        <v>392</v>
      </c>
      <c r="M178" s="206"/>
      <c r="N178" s="206"/>
      <c r="O178" s="151">
        <f t="shared" si="33"/>
        <v>382.31</v>
      </c>
      <c r="P178" s="206"/>
      <c r="Q178" s="206"/>
      <c r="R178" s="206">
        <f>SUM(R179:R182)</f>
        <v>382.31</v>
      </c>
      <c r="S178" s="155"/>
      <c r="T178" s="206"/>
    </row>
    <row r="179" spans="1:26" ht="63" x14ac:dyDescent="0.25">
      <c r="A179" s="407"/>
      <c r="B179" s="153" t="s">
        <v>605</v>
      </c>
      <c r="C179" s="151">
        <f t="shared" si="34"/>
        <v>100</v>
      </c>
      <c r="D179" s="155"/>
      <c r="E179" s="155"/>
      <c r="F179" s="211">
        <v>100</v>
      </c>
      <c r="G179" s="155"/>
      <c r="H179" s="155"/>
      <c r="I179" s="151">
        <f t="shared" si="35"/>
        <v>206.2</v>
      </c>
      <c r="J179" s="155"/>
      <c r="K179" s="155"/>
      <c r="L179" s="211">
        <v>206.2</v>
      </c>
      <c r="M179" s="155"/>
      <c r="N179" s="155"/>
      <c r="O179" s="151">
        <f t="shared" si="33"/>
        <v>197.58</v>
      </c>
      <c r="P179" s="155"/>
      <c r="Q179" s="155"/>
      <c r="R179" s="155">
        <v>197.58</v>
      </c>
      <c r="S179" s="155"/>
      <c r="T179" s="155"/>
    </row>
    <row r="180" spans="1:26" ht="47.25" x14ac:dyDescent="0.25">
      <c r="A180" s="407"/>
      <c r="B180" s="153" t="s">
        <v>606</v>
      </c>
      <c r="C180" s="151">
        <f t="shared" si="34"/>
        <v>50</v>
      </c>
      <c r="D180" s="155"/>
      <c r="E180" s="155"/>
      <c r="F180" s="211">
        <v>50</v>
      </c>
      <c r="G180" s="155"/>
      <c r="H180" s="155"/>
      <c r="I180" s="151">
        <f t="shared" si="35"/>
        <v>139</v>
      </c>
      <c r="J180" s="155"/>
      <c r="K180" s="155"/>
      <c r="L180" s="211">
        <v>139</v>
      </c>
      <c r="M180" s="155"/>
      <c r="N180" s="155"/>
      <c r="O180" s="151">
        <f t="shared" si="33"/>
        <v>137.93</v>
      </c>
      <c r="P180" s="155"/>
      <c r="Q180" s="155"/>
      <c r="R180" s="154">
        <v>137.93</v>
      </c>
      <c r="S180" s="155"/>
      <c r="T180" s="155"/>
    </row>
    <row r="181" spans="1:26" ht="31.5" x14ac:dyDescent="0.25">
      <c r="A181" s="407"/>
      <c r="B181" s="153" t="s">
        <v>607</v>
      </c>
      <c r="C181" s="151">
        <f t="shared" si="34"/>
        <v>80</v>
      </c>
      <c r="D181" s="155"/>
      <c r="E181" s="155"/>
      <c r="F181" s="211">
        <v>80</v>
      </c>
      <c r="G181" s="155"/>
      <c r="H181" s="155"/>
      <c r="I181" s="151">
        <f t="shared" si="35"/>
        <v>46.8</v>
      </c>
      <c r="J181" s="155"/>
      <c r="K181" s="155"/>
      <c r="L181" s="211">
        <v>46.8</v>
      </c>
      <c r="M181" s="155"/>
      <c r="N181" s="155"/>
      <c r="O181" s="151">
        <f t="shared" si="33"/>
        <v>46.8</v>
      </c>
      <c r="P181" s="155"/>
      <c r="Q181" s="155"/>
      <c r="R181" s="154">
        <v>46.8</v>
      </c>
      <c r="S181" s="155"/>
      <c r="T181" s="155"/>
    </row>
    <row r="182" spans="1:26" ht="47.25" x14ac:dyDescent="0.25">
      <c r="A182" s="407"/>
      <c r="B182" s="153" t="s">
        <v>608</v>
      </c>
      <c r="C182" s="151"/>
      <c r="D182" s="155"/>
      <c r="E182" s="155"/>
      <c r="F182" s="211"/>
      <c r="G182" s="155"/>
      <c r="H182" s="155"/>
      <c r="I182" s="151"/>
      <c r="J182" s="155"/>
      <c r="K182" s="155"/>
      <c r="L182" s="211">
        <v>0</v>
      </c>
      <c r="M182" s="155"/>
      <c r="N182" s="155"/>
      <c r="O182" s="151"/>
      <c r="P182" s="155"/>
      <c r="Q182" s="155"/>
      <c r="R182" s="154">
        <v>0</v>
      </c>
      <c r="S182" s="155"/>
      <c r="T182" s="155"/>
    </row>
    <row r="183" spans="1:26" s="266" customFormat="1" ht="31.5" x14ac:dyDescent="0.25">
      <c r="A183" s="265"/>
      <c r="B183" s="415" t="s">
        <v>609</v>
      </c>
      <c r="C183" s="151">
        <f t="shared" si="34"/>
        <v>590</v>
      </c>
      <c r="D183" s="168"/>
      <c r="E183" s="168"/>
      <c r="F183" s="168">
        <f>SUM(F184+F187)</f>
        <v>590</v>
      </c>
      <c r="G183" s="168"/>
      <c r="H183" s="168"/>
      <c r="I183" s="151">
        <f t="shared" si="35"/>
        <v>1017.9</v>
      </c>
      <c r="J183" s="168"/>
      <c r="K183" s="168"/>
      <c r="L183" s="152">
        <f>SUM(L184+L187)</f>
        <v>1017.9</v>
      </c>
      <c r="M183" s="168"/>
      <c r="N183" s="168"/>
      <c r="O183" s="151">
        <f t="shared" si="33"/>
        <v>927.9</v>
      </c>
      <c r="P183" s="168"/>
      <c r="Q183" s="168"/>
      <c r="R183" s="152">
        <f>SUM(R184+R187)</f>
        <v>927.9</v>
      </c>
      <c r="S183" s="168"/>
      <c r="T183" s="168"/>
    </row>
    <row r="184" spans="1:26" ht="47.25" x14ac:dyDescent="0.25">
      <c r="A184" s="407"/>
      <c r="B184" s="212" t="s">
        <v>610</v>
      </c>
      <c r="C184" s="151">
        <f t="shared" si="34"/>
        <v>590</v>
      </c>
      <c r="D184" s="155"/>
      <c r="E184" s="155"/>
      <c r="F184" s="211">
        <v>590</v>
      </c>
      <c r="G184" s="155"/>
      <c r="H184" s="155"/>
      <c r="I184" s="151">
        <f t="shared" si="35"/>
        <v>428</v>
      </c>
      <c r="J184" s="155"/>
      <c r="K184" s="155"/>
      <c r="L184" s="194">
        <f>SUM(L185:L186)</f>
        <v>428</v>
      </c>
      <c r="M184" s="155"/>
      <c r="N184" s="155"/>
      <c r="O184" s="151">
        <f t="shared" si="33"/>
        <v>428</v>
      </c>
      <c r="P184" s="155"/>
      <c r="Q184" s="155"/>
      <c r="R184" s="166">
        <f>SUM(R185:R186)</f>
        <v>428</v>
      </c>
      <c r="S184" s="155"/>
      <c r="T184" s="155"/>
    </row>
    <row r="185" spans="1:26" ht="47.25" x14ac:dyDescent="0.25">
      <c r="A185" s="407"/>
      <c r="B185" s="187" t="s">
        <v>611</v>
      </c>
      <c r="C185" s="151">
        <f t="shared" si="34"/>
        <v>490</v>
      </c>
      <c r="D185" s="206"/>
      <c r="E185" s="206"/>
      <c r="F185" s="206">
        <v>490</v>
      </c>
      <c r="G185" s="206"/>
      <c r="H185" s="206"/>
      <c r="I185" s="151">
        <f t="shared" si="35"/>
        <v>428</v>
      </c>
      <c r="J185" s="206"/>
      <c r="K185" s="206"/>
      <c r="L185" s="166">
        <v>428</v>
      </c>
      <c r="M185" s="206"/>
      <c r="N185" s="206"/>
      <c r="O185" s="151">
        <f t="shared" si="33"/>
        <v>428</v>
      </c>
      <c r="P185" s="206"/>
      <c r="Q185" s="206"/>
      <c r="R185" s="166">
        <v>428</v>
      </c>
      <c r="S185" s="155"/>
      <c r="T185" s="206"/>
    </row>
    <row r="186" spans="1:26" ht="63" x14ac:dyDescent="0.25">
      <c r="A186" s="407"/>
      <c r="B186" s="187" t="s">
        <v>612</v>
      </c>
      <c r="C186" s="151">
        <f t="shared" si="34"/>
        <v>100</v>
      </c>
      <c r="D186" s="206"/>
      <c r="E186" s="206"/>
      <c r="F186" s="206">
        <v>100</v>
      </c>
      <c r="G186" s="206"/>
      <c r="H186" s="206"/>
      <c r="I186" s="151">
        <f t="shared" si="35"/>
        <v>0</v>
      </c>
      <c r="J186" s="206"/>
      <c r="K186" s="206"/>
      <c r="L186" s="194"/>
      <c r="M186" s="206"/>
      <c r="N186" s="206"/>
      <c r="O186" s="151">
        <f t="shared" si="33"/>
        <v>0</v>
      </c>
      <c r="P186" s="206"/>
      <c r="Q186" s="206"/>
      <c r="R186" s="194"/>
      <c r="S186" s="155"/>
      <c r="T186" s="206"/>
    </row>
    <row r="187" spans="1:26" ht="47.25" x14ac:dyDescent="0.25">
      <c r="A187" s="407"/>
      <c r="B187" s="212" t="s">
        <v>613</v>
      </c>
      <c r="C187" s="151">
        <f>SUM(D187:H187)</f>
        <v>0</v>
      </c>
      <c r="D187" s="155"/>
      <c r="E187" s="155"/>
      <c r="F187" s="211">
        <f>SUM(F188:F189)</f>
        <v>0</v>
      </c>
      <c r="G187" s="155"/>
      <c r="H187" s="155"/>
      <c r="I187" s="151">
        <f t="shared" si="35"/>
        <v>589.9</v>
      </c>
      <c r="J187" s="155"/>
      <c r="K187" s="155"/>
      <c r="L187" s="194">
        <f>L188+L189</f>
        <v>589.9</v>
      </c>
      <c r="M187" s="155"/>
      <c r="N187" s="155"/>
      <c r="O187" s="151">
        <f t="shared" si="33"/>
        <v>499.9</v>
      </c>
      <c r="P187" s="155"/>
      <c r="Q187" s="155"/>
      <c r="R187" s="194">
        <v>499.9</v>
      </c>
      <c r="S187" s="155"/>
      <c r="T187" s="155"/>
    </row>
    <row r="188" spans="1:26" ht="31.5" x14ac:dyDescent="0.25">
      <c r="A188" s="407"/>
      <c r="B188" s="187" t="s">
        <v>55</v>
      </c>
      <c r="C188" s="151">
        <f t="shared" si="34"/>
        <v>0</v>
      </c>
      <c r="D188" s="206"/>
      <c r="E188" s="206"/>
      <c r="F188" s="206"/>
      <c r="G188" s="206"/>
      <c r="H188" s="206"/>
      <c r="I188" s="151">
        <f t="shared" si="35"/>
        <v>499.9</v>
      </c>
      <c r="J188" s="206"/>
      <c r="K188" s="206"/>
      <c r="L188" s="166">
        <v>499.9</v>
      </c>
      <c r="M188" s="206"/>
      <c r="N188" s="206"/>
      <c r="O188" s="151">
        <f t="shared" si="33"/>
        <v>499.9</v>
      </c>
      <c r="P188" s="206"/>
      <c r="Q188" s="206"/>
      <c r="R188" s="166">
        <v>499.9</v>
      </c>
      <c r="S188" s="155"/>
      <c r="T188" s="206"/>
    </row>
    <row r="189" spans="1:26" ht="71.25" customHeight="1" x14ac:dyDescent="0.25">
      <c r="A189" s="407"/>
      <c r="B189" s="615" t="s">
        <v>614</v>
      </c>
      <c r="C189" s="151">
        <f t="shared" si="34"/>
        <v>0</v>
      </c>
      <c r="D189" s="206"/>
      <c r="E189" s="206"/>
      <c r="F189" s="213"/>
      <c r="G189" s="206"/>
      <c r="H189" s="206"/>
      <c r="I189" s="151">
        <f t="shared" si="35"/>
        <v>90</v>
      </c>
      <c r="J189" s="206"/>
      <c r="K189" s="206"/>
      <c r="L189" s="166">
        <v>90</v>
      </c>
      <c r="M189" s="206"/>
      <c r="N189" s="206"/>
      <c r="O189" s="151">
        <f t="shared" si="33"/>
        <v>0</v>
      </c>
      <c r="P189" s="206"/>
      <c r="Q189" s="206"/>
      <c r="R189" s="166"/>
      <c r="S189" s="155"/>
      <c r="T189" s="206"/>
    </row>
    <row r="190" spans="1:26" s="596" customFormat="1" ht="78.75" x14ac:dyDescent="0.3">
      <c r="A190" s="591">
        <v>16</v>
      </c>
      <c r="B190" s="644" t="s">
        <v>1373</v>
      </c>
      <c r="C190" s="593">
        <f t="shared" si="34"/>
        <v>4456.9799999999996</v>
      </c>
      <c r="D190" s="634">
        <v>0</v>
      </c>
      <c r="E190" s="634">
        <v>0</v>
      </c>
      <c r="F190" s="636">
        <f>F191+F193</f>
        <v>4456.9799999999996</v>
      </c>
      <c r="G190" s="593">
        <v>0</v>
      </c>
      <c r="H190" s="593">
        <v>0</v>
      </c>
      <c r="I190" s="593">
        <f t="shared" si="35"/>
        <v>4705.54</v>
      </c>
      <c r="J190" s="593">
        <v>0</v>
      </c>
      <c r="K190" s="593">
        <v>0</v>
      </c>
      <c r="L190" s="636">
        <f>L191+L193</f>
        <v>4705.54</v>
      </c>
      <c r="M190" s="593">
        <v>0</v>
      </c>
      <c r="N190" s="593">
        <v>0</v>
      </c>
      <c r="O190" s="593">
        <f t="shared" si="33"/>
        <v>4652.33</v>
      </c>
      <c r="P190" s="593">
        <v>0</v>
      </c>
      <c r="Q190" s="593">
        <v>0</v>
      </c>
      <c r="R190" s="636">
        <f>R191+R193</f>
        <v>4652.33</v>
      </c>
      <c r="S190" s="634">
        <v>0</v>
      </c>
      <c r="T190" s="634">
        <v>0</v>
      </c>
      <c r="U190" s="594">
        <f>I190/4*4</f>
        <v>4705.54</v>
      </c>
      <c r="V190" s="595">
        <f>O190/U190*100</f>
        <v>98.86920523468082</v>
      </c>
      <c r="Y190" s="597">
        <f>I190-L190</f>
        <v>0</v>
      </c>
      <c r="Z190" s="597">
        <f>Y190/I190*100</f>
        <v>0</v>
      </c>
    </row>
    <row r="191" spans="1:26" ht="47.25" x14ac:dyDescent="0.25">
      <c r="A191" s="407"/>
      <c r="B191" s="214" t="s">
        <v>615</v>
      </c>
      <c r="C191" s="151">
        <f t="shared" si="34"/>
        <v>3366.12</v>
      </c>
      <c r="D191" s="152"/>
      <c r="E191" s="152"/>
      <c r="F191" s="172">
        <f>F192</f>
        <v>3366.12</v>
      </c>
      <c r="G191" s="194"/>
      <c r="H191" s="194"/>
      <c r="I191" s="151">
        <f t="shared" si="35"/>
        <v>3637.1</v>
      </c>
      <c r="J191" s="194"/>
      <c r="K191" s="194"/>
      <c r="L191" s="200">
        <f>L192</f>
        <v>3637.1</v>
      </c>
      <c r="M191" s="194"/>
      <c r="N191" s="194"/>
      <c r="O191" s="151">
        <f t="shared" si="33"/>
        <v>3583.89</v>
      </c>
      <c r="P191" s="194"/>
      <c r="Q191" s="194"/>
      <c r="R191" s="172">
        <f>R192</f>
        <v>3583.89</v>
      </c>
      <c r="S191" s="152"/>
      <c r="T191" s="152"/>
    </row>
    <row r="192" spans="1:26" ht="31.5" x14ac:dyDescent="0.25">
      <c r="A192" s="407"/>
      <c r="B192" s="393" t="s">
        <v>616</v>
      </c>
      <c r="C192" s="151">
        <f t="shared" si="34"/>
        <v>3366.12</v>
      </c>
      <c r="D192" s="155"/>
      <c r="E192" s="155"/>
      <c r="F192" s="176">
        <v>3366.12</v>
      </c>
      <c r="G192" s="155"/>
      <c r="H192" s="155"/>
      <c r="I192" s="151">
        <f t="shared" si="35"/>
        <v>3637.1</v>
      </c>
      <c r="J192" s="155"/>
      <c r="K192" s="155"/>
      <c r="L192" s="392">
        <v>3637.1</v>
      </c>
      <c r="M192" s="155"/>
      <c r="N192" s="155"/>
      <c r="O192" s="151">
        <f t="shared" si="33"/>
        <v>3583.89</v>
      </c>
      <c r="P192" s="155"/>
      <c r="Q192" s="155"/>
      <c r="R192" s="176">
        <v>3583.89</v>
      </c>
      <c r="S192" s="155"/>
      <c r="T192" s="155"/>
    </row>
    <row r="193" spans="1:26" ht="78.75" x14ac:dyDescent="0.25">
      <c r="A193" s="407"/>
      <c r="B193" s="214" t="s">
        <v>617</v>
      </c>
      <c r="C193" s="151">
        <f t="shared" si="34"/>
        <v>1090.8599999999999</v>
      </c>
      <c r="D193" s="155"/>
      <c r="E193" s="155"/>
      <c r="F193" s="172">
        <f>F194</f>
        <v>1090.8599999999999</v>
      </c>
      <c r="G193" s="155"/>
      <c r="H193" s="155"/>
      <c r="I193" s="151">
        <f t="shared" si="35"/>
        <v>1068.44</v>
      </c>
      <c r="J193" s="155"/>
      <c r="K193" s="154"/>
      <c r="L193" s="200">
        <f>L194</f>
        <v>1068.44</v>
      </c>
      <c r="M193" s="155"/>
      <c r="N193" s="155"/>
      <c r="O193" s="151">
        <f t="shared" si="33"/>
        <v>1068.44</v>
      </c>
      <c r="P193" s="155"/>
      <c r="Q193" s="155"/>
      <c r="R193" s="172">
        <f>R194</f>
        <v>1068.44</v>
      </c>
      <c r="S193" s="155"/>
      <c r="T193" s="155"/>
    </row>
    <row r="194" spans="1:26" ht="31.5" x14ac:dyDescent="0.25">
      <c r="A194" s="407"/>
      <c r="B194" s="393" t="s">
        <v>618</v>
      </c>
      <c r="C194" s="151">
        <f t="shared" si="34"/>
        <v>1090.8599999999999</v>
      </c>
      <c r="D194" s="155"/>
      <c r="E194" s="155"/>
      <c r="F194" s="176">
        <v>1090.8599999999999</v>
      </c>
      <c r="G194" s="155"/>
      <c r="H194" s="155"/>
      <c r="I194" s="151">
        <f t="shared" si="35"/>
        <v>1068.44</v>
      </c>
      <c r="J194" s="155"/>
      <c r="K194" s="154"/>
      <c r="L194" s="392">
        <v>1068.44</v>
      </c>
      <c r="M194" s="155"/>
      <c r="N194" s="155"/>
      <c r="O194" s="151">
        <f t="shared" si="33"/>
        <v>1068.44</v>
      </c>
      <c r="P194" s="155"/>
      <c r="Q194" s="155"/>
      <c r="R194" s="176">
        <v>1068.44</v>
      </c>
      <c r="S194" s="155"/>
      <c r="T194" s="155"/>
    </row>
    <row r="195" spans="1:26" s="596" customFormat="1" ht="63.75" x14ac:dyDescent="0.3">
      <c r="A195" s="591">
        <v>17</v>
      </c>
      <c r="B195" s="612" t="s">
        <v>1387</v>
      </c>
      <c r="C195" s="593">
        <f t="shared" ref="C195:T195" si="36">SUM(C196:C198)</f>
        <v>418194.29</v>
      </c>
      <c r="D195" s="593">
        <f t="shared" si="36"/>
        <v>173607.28999999998</v>
      </c>
      <c r="E195" s="593">
        <f t="shared" si="36"/>
        <v>27796.29</v>
      </c>
      <c r="F195" s="593">
        <f t="shared" si="36"/>
        <v>0</v>
      </c>
      <c r="G195" s="593">
        <f t="shared" si="36"/>
        <v>0</v>
      </c>
      <c r="H195" s="593">
        <f t="shared" si="36"/>
        <v>216790.71</v>
      </c>
      <c r="I195" s="593">
        <f>SUM(I196:I198)</f>
        <v>397611.76</v>
      </c>
      <c r="J195" s="593">
        <f>SUM(J196:J198)</f>
        <v>173134.17</v>
      </c>
      <c r="K195" s="593">
        <f>SUM(K196:K198)</f>
        <v>15055.14</v>
      </c>
      <c r="L195" s="593">
        <f t="shared" si="36"/>
        <v>0</v>
      </c>
      <c r="M195" s="593">
        <f t="shared" si="36"/>
        <v>0</v>
      </c>
      <c r="N195" s="593">
        <f>SUM(N196:N198)</f>
        <v>209422.45</v>
      </c>
      <c r="O195" s="593">
        <f t="shared" si="36"/>
        <v>367218.3</v>
      </c>
      <c r="P195" s="593">
        <f t="shared" si="36"/>
        <v>173134.17</v>
      </c>
      <c r="Q195" s="593">
        <f t="shared" si="36"/>
        <v>15055.14</v>
      </c>
      <c r="R195" s="593">
        <f t="shared" si="36"/>
        <v>0</v>
      </c>
      <c r="S195" s="593">
        <f t="shared" si="36"/>
        <v>0</v>
      </c>
      <c r="T195" s="593">
        <f t="shared" si="36"/>
        <v>179028.99</v>
      </c>
      <c r="U195" s="594">
        <f>I195/4*4</f>
        <v>397611.76</v>
      </c>
      <c r="V195" s="595">
        <f>O195/U195*100</f>
        <v>92.355995707974031</v>
      </c>
      <c r="Y195" s="597">
        <f>I195-L195</f>
        <v>397611.76</v>
      </c>
      <c r="Z195" s="597">
        <f>Y195/I195*100</f>
        <v>100</v>
      </c>
    </row>
    <row r="196" spans="1:26" ht="68.25" customHeight="1" x14ac:dyDescent="0.25">
      <c r="A196" s="407">
        <v>17</v>
      </c>
      <c r="B196" s="187" t="s">
        <v>619</v>
      </c>
      <c r="C196" s="151">
        <f>SUM(D196:H196)</f>
        <v>201403.58</v>
      </c>
      <c r="D196" s="159">
        <f>133552.33+40054.96</f>
        <v>173607.28999999998</v>
      </c>
      <c r="E196" s="159">
        <f>12700+11613.25+3483.04</f>
        <v>27796.29</v>
      </c>
      <c r="F196" s="159">
        <v>0</v>
      </c>
      <c r="G196" s="159">
        <v>0</v>
      </c>
      <c r="H196" s="159">
        <v>0</v>
      </c>
      <c r="I196" s="151">
        <f>SUM(J196:N196)</f>
        <v>188189.31</v>
      </c>
      <c r="J196" s="159">
        <v>173134.17</v>
      </c>
      <c r="K196" s="159">
        <v>15055.14</v>
      </c>
      <c r="L196" s="159">
        <v>0</v>
      </c>
      <c r="M196" s="159">
        <v>0</v>
      </c>
      <c r="N196" s="159">
        <v>0</v>
      </c>
      <c r="O196" s="151">
        <f>SUM(P196:T196)</f>
        <v>188189.31</v>
      </c>
      <c r="P196" s="159">
        <v>173134.17</v>
      </c>
      <c r="Q196" s="159">
        <v>15055.14</v>
      </c>
      <c r="R196" s="159">
        <v>0</v>
      </c>
      <c r="S196" s="159">
        <v>0</v>
      </c>
      <c r="T196" s="159">
        <v>0</v>
      </c>
    </row>
    <row r="197" spans="1:26" ht="47.25" x14ac:dyDescent="0.25">
      <c r="A197" s="407">
        <v>17</v>
      </c>
      <c r="B197" s="187" t="s">
        <v>620</v>
      </c>
      <c r="C197" s="151">
        <f>SUM(D197:H197)</f>
        <v>216790.71</v>
      </c>
      <c r="D197" s="155">
        <v>0</v>
      </c>
      <c r="E197" s="155">
        <v>0</v>
      </c>
      <c r="F197" s="159">
        <v>0</v>
      </c>
      <c r="G197" s="159">
        <v>0</v>
      </c>
      <c r="H197" s="159">
        <v>216790.71</v>
      </c>
      <c r="I197" s="151">
        <f>SUM(J197:N197)</f>
        <v>209422.45</v>
      </c>
      <c r="J197" s="155">
        <v>0</v>
      </c>
      <c r="K197" s="155">
        <v>0</v>
      </c>
      <c r="L197" s="159">
        <v>0</v>
      </c>
      <c r="M197" s="159">
        <v>0</v>
      </c>
      <c r="N197" s="159">
        <v>209422.45</v>
      </c>
      <c r="O197" s="151">
        <f>SUM(P197:T197)</f>
        <v>179028.99</v>
      </c>
      <c r="P197" s="155">
        <v>0</v>
      </c>
      <c r="Q197" s="155">
        <v>0</v>
      </c>
      <c r="R197" s="159">
        <v>0</v>
      </c>
      <c r="S197" s="159">
        <v>0</v>
      </c>
      <c r="T197" s="159">
        <v>179028.99</v>
      </c>
      <c r="U197" s="575"/>
      <c r="V197" s="575"/>
    </row>
    <row r="198" spans="1:26" ht="31.5" x14ac:dyDescent="0.25">
      <c r="A198" s="407">
        <v>17</v>
      </c>
      <c r="B198" s="187" t="s">
        <v>621</v>
      </c>
      <c r="C198" s="151">
        <f>SUM(D198:H198)</f>
        <v>0</v>
      </c>
      <c r="D198" s="155">
        <v>0</v>
      </c>
      <c r="E198" s="159">
        <v>0</v>
      </c>
      <c r="F198" s="159">
        <v>0</v>
      </c>
      <c r="G198" s="159">
        <v>0</v>
      </c>
      <c r="H198" s="159">
        <v>0</v>
      </c>
      <c r="I198" s="181">
        <f>SUM(J198:N198)</f>
        <v>0</v>
      </c>
      <c r="J198" s="155">
        <v>0</v>
      </c>
      <c r="K198" s="159">
        <v>0</v>
      </c>
      <c r="L198" s="159">
        <v>0</v>
      </c>
      <c r="M198" s="159">
        <v>0</v>
      </c>
      <c r="N198" s="159">
        <v>0</v>
      </c>
      <c r="O198" s="181">
        <f>SUM(P198:T198)</f>
        <v>0</v>
      </c>
      <c r="P198" s="155">
        <v>0</v>
      </c>
      <c r="Q198" s="159">
        <v>0</v>
      </c>
      <c r="R198" s="159">
        <v>0</v>
      </c>
      <c r="S198" s="159">
        <v>0</v>
      </c>
      <c r="T198" s="159">
        <v>0</v>
      </c>
    </row>
    <row r="199" spans="1:26" ht="47.25" x14ac:dyDescent="0.25">
      <c r="A199" s="407">
        <v>17</v>
      </c>
      <c r="B199" s="187" t="s">
        <v>622</v>
      </c>
      <c r="C199" s="151">
        <f>SUM(D199:H199)</f>
        <v>0</v>
      </c>
      <c r="D199" s="155">
        <v>0</v>
      </c>
      <c r="E199" s="159">
        <v>0</v>
      </c>
      <c r="F199" s="159">
        <v>0</v>
      </c>
      <c r="G199" s="159">
        <v>0</v>
      </c>
      <c r="H199" s="159">
        <v>0</v>
      </c>
      <c r="I199" s="181">
        <f>SUM(J199:N199)</f>
        <v>0</v>
      </c>
      <c r="J199" s="155">
        <v>0</v>
      </c>
      <c r="K199" s="159">
        <v>0</v>
      </c>
      <c r="L199" s="159">
        <v>0</v>
      </c>
      <c r="M199" s="159">
        <v>0</v>
      </c>
      <c r="N199" s="159">
        <v>0</v>
      </c>
      <c r="O199" s="181">
        <f>SUM(P199:T199)</f>
        <v>0</v>
      </c>
      <c r="P199" s="155">
        <v>0</v>
      </c>
      <c r="Q199" s="159">
        <v>0</v>
      </c>
      <c r="R199" s="159">
        <v>0</v>
      </c>
      <c r="S199" s="159">
        <v>0</v>
      </c>
      <c r="T199" s="159">
        <v>0</v>
      </c>
    </row>
    <row r="200" spans="1:26" ht="63" x14ac:dyDescent="0.25">
      <c r="A200" s="407">
        <v>17</v>
      </c>
      <c r="B200" s="187" t="s">
        <v>623</v>
      </c>
      <c r="C200" s="151">
        <f>SUM(D200:H200)</f>
        <v>0</v>
      </c>
      <c r="D200" s="155">
        <v>0</v>
      </c>
      <c r="E200" s="159">
        <v>0</v>
      </c>
      <c r="F200" s="159">
        <v>0</v>
      </c>
      <c r="G200" s="159">
        <v>0</v>
      </c>
      <c r="H200" s="159">
        <v>0</v>
      </c>
      <c r="I200" s="181">
        <f>SUM(J200:N200)</f>
        <v>0</v>
      </c>
      <c r="J200" s="155">
        <v>0</v>
      </c>
      <c r="K200" s="159">
        <v>0</v>
      </c>
      <c r="L200" s="159">
        <v>0</v>
      </c>
      <c r="M200" s="159">
        <v>0</v>
      </c>
      <c r="N200" s="159">
        <v>0</v>
      </c>
      <c r="O200" s="181">
        <f>SUM(P200:T200)</f>
        <v>0</v>
      </c>
      <c r="P200" s="155">
        <v>0</v>
      </c>
      <c r="Q200" s="159">
        <v>0</v>
      </c>
      <c r="R200" s="159">
        <v>0</v>
      </c>
      <c r="S200" s="159">
        <v>0</v>
      </c>
      <c r="T200" s="159">
        <v>0</v>
      </c>
    </row>
    <row r="201" spans="1:26" s="596" customFormat="1" ht="78.75" x14ac:dyDescent="0.3">
      <c r="A201" s="591">
        <v>18</v>
      </c>
      <c r="B201" s="645" t="s">
        <v>1340</v>
      </c>
      <c r="C201" s="646">
        <f>D201+E201+F201+G201+H201</f>
        <v>431659.30000000005</v>
      </c>
      <c r="D201" s="646">
        <f>D202+D219+D225+D235+D240+D249+D272+D270+D266+D264+D262+D257</f>
        <v>57980.3</v>
      </c>
      <c r="E201" s="646">
        <f>E202+E219+E225+E235+E240+E249+E272+E270+E266+E264+E262+E257</f>
        <v>240301.4</v>
      </c>
      <c r="F201" s="646">
        <f t="shared" ref="F201:H201" si="37">F202+F219+F225+F235+F240+F249+F272+F270+F266+F264+F262+F257</f>
        <v>12222</v>
      </c>
      <c r="G201" s="646">
        <f t="shared" si="37"/>
        <v>3300</v>
      </c>
      <c r="H201" s="646">
        <f t="shared" si="37"/>
        <v>117855.6</v>
      </c>
      <c r="I201" s="646">
        <f>J201+K201+L201+M201+N201</f>
        <v>193643.26749999999</v>
      </c>
      <c r="J201" s="646">
        <f>J202+J219+J225+J235+J240+J249+J272</f>
        <v>0</v>
      </c>
      <c r="K201" s="646">
        <f>K202+K219+K225+K235+K240+K249+K272+K270</f>
        <v>137505.21849999999</v>
      </c>
      <c r="L201" s="646">
        <f>L202+L219+L225+L235+L240+L249+L272+L270</f>
        <v>19418.048999999999</v>
      </c>
      <c r="M201" s="646">
        <f>M202+M219+M225+M235+M240+M249+M272</f>
        <v>0</v>
      </c>
      <c r="N201" s="646">
        <f>N202+N219+N225+N235+N240+N249+N272</f>
        <v>36720</v>
      </c>
      <c r="O201" s="646">
        <f>P201+Q201+R201+S201+T201</f>
        <v>186203.88987999997</v>
      </c>
      <c r="P201" s="646">
        <f>P202+P219+P225+P235+P240+P249+P272</f>
        <v>0</v>
      </c>
      <c r="Q201" s="646">
        <f>Q202+Q219+Q225+Q235+Q240+Q249+Q272+Q270</f>
        <v>136740.94587999998</v>
      </c>
      <c r="R201" s="646">
        <f>R202+R219+R225+R235+R240+R249+R272+R270</f>
        <v>12742.944</v>
      </c>
      <c r="S201" s="646">
        <f>S202+S219+S225+S235+S240+S249+S272</f>
        <v>0</v>
      </c>
      <c r="T201" s="646">
        <f>T202+T219+T225+T235+T240+T249+T272</f>
        <v>36720</v>
      </c>
      <c r="U201" s="594">
        <f>I201/4*4</f>
        <v>193643.26749999999</v>
      </c>
      <c r="V201" s="595">
        <f>O201/U201*100</f>
        <v>96.158204870200294</v>
      </c>
      <c r="Y201" s="597">
        <f>I201-L201</f>
        <v>174225.21849999999</v>
      </c>
      <c r="Z201" s="597">
        <f>Y201/I201*100</f>
        <v>89.972257104161912</v>
      </c>
    </row>
    <row r="202" spans="1:26" s="262" customFormat="1" x14ac:dyDescent="0.25">
      <c r="A202" s="261"/>
      <c r="B202" s="215" t="s">
        <v>624</v>
      </c>
      <c r="C202" s="613">
        <f t="shared" ref="C202:C207" si="38">SUM(D202:H202)</f>
        <v>64959.6</v>
      </c>
      <c r="D202" s="288"/>
      <c r="E202" s="288">
        <f>E209+E203+E206+E210</f>
        <v>21958</v>
      </c>
      <c r="F202" s="288">
        <f t="shared" ref="F202:H202" si="39">F209+F203+F206+F210</f>
        <v>2000</v>
      </c>
      <c r="G202" s="288">
        <f t="shared" si="39"/>
        <v>100</v>
      </c>
      <c r="H202" s="288">
        <f t="shared" si="39"/>
        <v>40901.599999999999</v>
      </c>
      <c r="I202" s="287">
        <f>SUM(J202:N202)</f>
        <v>3250</v>
      </c>
      <c r="J202" s="288">
        <f>J203+J206+J209</f>
        <v>0</v>
      </c>
      <c r="K202" s="288">
        <f>K203+K206+K209</f>
        <v>0</v>
      </c>
      <c r="L202" s="288">
        <f>L209+L203+L206+L210+L215+L213</f>
        <v>2450</v>
      </c>
      <c r="M202" s="288">
        <f>M203+M206+M209</f>
        <v>0</v>
      </c>
      <c r="N202" s="288">
        <f>N210</f>
        <v>800</v>
      </c>
      <c r="O202" s="287">
        <f>SUM(P202:T202)</f>
        <v>3250</v>
      </c>
      <c r="P202" s="288">
        <f>P203+P206+P209</f>
        <v>0</v>
      </c>
      <c r="Q202" s="288">
        <f>Q203+Q206+Q209</f>
        <v>0</v>
      </c>
      <c r="R202" s="288">
        <f>R209+R203+R206+R210+R215+R213</f>
        <v>2450</v>
      </c>
      <c r="S202" s="288">
        <f>S203+S206+S209</f>
        <v>0</v>
      </c>
      <c r="T202" s="288">
        <f>T203+T206+T209+T210</f>
        <v>800</v>
      </c>
    </row>
    <row r="203" spans="1:26" s="11" customFormat="1" ht="31.5" x14ac:dyDescent="0.25">
      <c r="A203" s="247"/>
      <c r="B203" s="216" t="s">
        <v>625</v>
      </c>
      <c r="C203" s="613">
        <f t="shared" si="38"/>
        <v>6978.6</v>
      </c>
      <c r="D203" s="286"/>
      <c r="E203" s="286">
        <f>SUM(E204:E205)</f>
        <v>3377</v>
      </c>
      <c r="F203" s="286">
        <f>SUM(F204:F205)</f>
        <v>0</v>
      </c>
      <c r="G203" s="286">
        <f>SUM(G204:G205)</f>
        <v>0</v>
      </c>
      <c r="H203" s="286">
        <f>SUM(H204:H205)</f>
        <v>3601.6</v>
      </c>
      <c r="I203" s="287">
        <f t="shared" ref="I203:I279" si="40">SUM(J203:N203)</f>
        <v>0</v>
      </c>
      <c r="J203" s="286">
        <f>SUM(J205:J205)</f>
        <v>0</v>
      </c>
      <c r="K203" s="286">
        <f>SUM(K205:K205)</f>
        <v>0</v>
      </c>
      <c r="L203" s="286">
        <f>SUM(L205:L205)</f>
        <v>0</v>
      </c>
      <c r="M203" s="286">
        <f>SUM(M205:M205)</f>
        <v>0</v>
      </c>
      <c r="N203" s="286">
        <f>SUM(N205:N205)</f>
        <v>0</v>
      </c>
      <c r="O203" s="287">
        <f t="shared" ref="O203:O279" si="41">SUM(P203:T203)</f>
        <v>0</v>
      </c>
      <c r="P203" s="286">
        <f>SUM(P205:P205)</f>
        <v>0</v>
      </c>
      <c r="Q203" s="286">
        <f>SUM(Q205:Q205)</f>
        <v>0</v>
      </c>
      <c r="R203" s="286">
        <f>SUM(R205:R205)</f>
        <v>0</v>
      </c>
      <c r="S203" s="286">
        <f>SUM(S205:S205)</f>
        <v>0</v>
      </c>
      <c r="T203" s="286">
        <f>SUM(T205:T205)</f>
        <v>0</v>
      </c>
    </row>
    <row r="204" spans="1:26" s="11" customFormat="1" x14ac:dyDescent="0.25">
      <c r="A204" s="247"/>
      <c r="B204" s="217" t="s">
        <v>626</v>
      </c>
      <c r="C204" s="613">
        <f t="shared" si="38"/>
        <v>4500</v>
      </c>
      <c r="D204" s="286"/>
      <c r="E204" s="286">
        <v>2000</v>
      </c>
      <c r="F204" s="286"/>
      <c r="G204" s="286"/>
      <c r="H204" s="286">
        <v>2500</v>
      </c>
      <c r="I204" s="287">
        <f t="shared" si="40"/>
        <v>0</v>
      </c>
      <c r="J204" s="286"/>
      <c r="K204" s="286"/>
      <c r="L204" s="286"/>
      <c r="M204" s="286">
        <v>0</v>
      </c>
      <c r="N204" s="286"/>
      <c r="O204" s="287">
        <f t="shared" si="41"/>
        <v>0</v>
      </c>
      <c r="P204" s="286"/>
      <c r="Q204" s="286"/>
      <c r="R204" s="286">
        <v>0</v>
      </c>
      <c r="S204" s="286">
        <v>0</v>
      </c>
      <c r="T204" s="286"/>
    </row>
    <row r="205" spans="1:26" s="11" customFormat="1" x14ac:dyDescent="0.25">
      <c r="A205" s="247"/>
      <c r="B205" s="217" t="s">
        <v>627</v>
      </c>
      <c r="C205" s="613">
        <f t="shared" si="38"/>
        <v>2478.6</v>
      </c>
      <c r="D205" s="286"/>
      <c r="E205" s="286">
        <v>1377</v>
      </c>
      <c r="F205" s="286"/>
      <c r="G205" s="286"/>
      <c r="H205" s="286">
        <v>1101.5999999999999</v>
      </c>
      <c r="I205" s="287">
        <f t="shared" si="40"/>
        <v>0</v>
      </c>
      <c r="J205" s="286"/>
      <c r="K205" s="286"/>
      <c r="L205" s="286"/>
      <c r="M205" s="286"/>
      <c r="N205" s="286"/>
      <c r="O205" s="287">
        <f t="shared" si="41"/>
        <v>0</v>
      </c>
      <c r="P205" s="286"/>
      <c r="Q205" s="286"/>
      <c r="R205" s="286"/>
      <c r="S205" s="286"/>
      <c r="T205" s="286"/>
    </row>
    <row r="206" spans="1:26" s="11" customFormat="1" x14ac:dyDescent="0.25">
      <c r="A206" s="247"/>
      <c r="B206" s="216" t="s">
        <v>628</v>
      </c>
      <c r="C206" s="613">
        <f t="shared" si="38"/>
        <v>29287</v>
      </c>
      <c r="D206" s="286">
        <f>SUM(D207:D208)</f>
        <v>0</v>
      </c>
      <c r="E206" s="286">
        <f>SUM(E207:E208)</f>
        <v>4281</v>
      </c>
      <c r="F206" s="286">
        <f>SUM(F207:F208)</f>
        <v>0</v>
      </c>
      <c r="G206" s="286">
        <f>SUM(G207:G208)</f>
        <v>0</v>
      </c>
      <c r="H206" s="286">
        <f>SUM(H207:H208)</f>
        <v>25006</v>
      </c>
      <c r="I206" s="287">
        <f t="shared" si="40"/>
        <v>0</v>
      </c>
      <c r="J206" s="286">
        <f>SUM(J207:J209)</f>
        <v>0</v>
      </c>
      <c r="K206" s="286">
        <f>SUM(K207:K209)</f>
        <v>0</v>
      </c>
      <c r="L206" s="286"/>
      <c r="M206" s="286">
        <f>SUM(M207:M209)</f>
        <v>0</v>
      </c>
      <c r="N206" s="286">
        <f>SUM(N207:N209)</f>
        <v>0</v>
      </c>
      <c r="O206" s="287">
        <f t="shared" si="41"/>
        <v>0</v>
      </c>
      <c r="P206" s="286">
        <f>SUM(P207:P209)</f>
        <v>0</v>
      </c>
      <c r="Q206" s="286">
        <f>SUM(Q207:Q209)</f>
        <v>0</v>
      </c>
      <c r="R206" s="286">
        <f>SUM(R207:R209)</f>
        <v>0</v>
      </c>
      <c r="S206" s="286">
        <f>SUM(S207:S209)</f>
        <v>0</v>
      </c>
      <c r="T206" s="286">
        <f>SUM(T207:T209)</f>
        <v>0</v>
      </c>
    </row>
    <row r="207" spans="1:26" s="11" customFormat="1" ht="31.5" x14ac:dyDescent="0.25">
      <c r="A207" s="247"/>
      <c r="B207" s="217" t="s">
        <v>629</v>
      </c>
      <c r="C207" s="613">
        <f t="shared" si="38"/>
        <v>0</v>
      </c>
      <c r="D207" s="286"/>
      <c r="E207" s="286"/>
      <c r="F207" s="286">
        <v>0</v>
      </c>
      <c r="G207" s="286"/>
      <c r="H207" s="286"/>
      <c r="I207" s="287">
        <f t="shared" si="40"/>
        <v>0</v>
      </c>
      <c r="J207" s="286"/>
      <c r="K207" s="286"/>
      <c r="L207" s="286"/>
      <c r="M207" s="286"/>
      <c r="N207" s="286"/>
      <c r="O207" s="287">
        <f t="shared" si="41"/>
        <v>0</v>
      </c>
      <c r="P207" s="286"/>
      <c r="Q207" s="286"/>
      <c r="R207" s="286"/>
      <c r="S207" s="286"/>
      <c r="T207" s="286"/>
    </row>
    <row r="208" spans="1:26" s="11" customFormat="1" ht="70.5" customHeight="1" x14ac:dyDescent="0.25">
      <c r="A208" s="247"/>
      <c r="B208" s="217" t="s">
        <v>630</v>
      </c>
      <c r="C208" s="613">
        <f>SUM(D208:H208)</f>
        <v>29287</v>
      </c>
      <c r="D208" s="286"/>
      <c r="E208" s="286">
        <v>4281</v>
      </c>
      <c r="F208" s="286"/>
      <c r="G208" s="286"/>
      <c r="H208" s="286">
        <v>25006</v>
      </c>
      <c r="I208" s="287">
        <f t="shared" si="40"/>
        <v>0</v>
      </c>
      <c r="J208" s="286"/>
      <c r="K208" s="286"/>
      <c r="L208" s="286"/>
      <c r="M208" s="286"/>
      <c r="N208" s="286"/>
      <c r="O208" s="287">
        <f t="shared" si="41"/>
        <v>0</v>
      </c>
      <c r="P208" s="286"/>
      <c r="Q208" s="286"/>
      <c r="R208" s="286"/>
      <c r="S208" s="286"/>
      <c r="T208" s="286"/>
    </row>
    <row r="209" spans="1:21" s="11" customFormat="1" ht="31.5" x14ac:dyDescent="0.25">
      <c r="A209" s="247"/>
      <c r="B209" s="216" t="s">
        <v>631</v>
      </c>
      <c r="C209" s="613">
        <f>SUM(D209:H209)</f>
        <v>600</v>
      </c>
      <c r="D209" s="286"/>
      <c r="E209" s="286">
        <v>300</v>
      </c>
      <c r="F209" s="286"/>
      <c r="G209" s="286">
        <v>100</v>
      </c>
      <c r="H209" s="286">
        <v>200</v>
      </c>
      <c r="I209" s="287">
        <f t="shared" si="40"/>
        <v>0</v>
      </c>
      <c r="J209" s="286"/>
      <c r="K209" s="286"/>
      <c r="L209" s="286"/>
      <c r="M209" s="286"/>
      <c r="N209" s="286"/>
      <c r="O209" s="287">
        <f t="shared" si="41"/>
        <v>0</v>
      </c>
      <c r="P209" s="286"/>
      <c r="Q209" s="286"/>
      <c r="R209" s="286"/>
      <c r="S209" s="286"/>
      <c r="T209" s="286"/>
    </row>
    <row r="210" spans="1:21" s="264" customFormat="1" ht="99" customHeight="1" x14ac:dyDescent="0.25">
      <c r="A210" s="263"/>
      <c r="B210" s="216" t="s">
        <v>648</v>
      </c>
      <c r="C210" s="613">
        <f>SUM(D210:H210)</f>
        <v>28094</v>
      </c>
      <c r="D210" s="286">
        <f>SUM(D211:D217)</f>
        <v>0</v>
      </c>
      <c r="E210" s="286">
        <f>SUM(E211:E217)</f>
        <v>14000</v>
      </c>
      <c r="F210" s="286">
        <f>SUM(F211)</f>
        <v>2000</v>
      </c>
      <c r="G210" s="286">
        <f>SUM(G211:G217)</f>
        <v>0</v>
      </c>
      <c r="H210" s="286">
        <f>SUM(H211:H217)</f>
        <v>12094</v>
      </c>
      <c r="I210" s="287">
        <f t="shared" si="40"/>
        <v>1578</v>
      </c>
      <c r="J210" s="286">
        <f>SUM(J211:J217)</f>
        <v>0</v>
      </c>
      <c r="K210" s="286">
        <f>SUM(K211:K217)</f>
        <v>0</v>
      </c>
      <c r="L210" s="286">
        <f>SUM(L211)</f>
        <v>778</v>
      </c>
      <c r="M210" s="286">
        <f>SUM(M211:M217)</f>
        <v>0</v>
      </c>
      <c r="N210" s="286">
        <f>SUM(N211:N217)</f>
        <v>800</v>
      </c>
      <c r="O210" s="287">
        <f t="shared" si="41"/>
        <v>1578</v>
      </c>
      <c r="P210" s="286">
        <f>SUM(P211:P217)</f>
        <v>0</v>
      </c>
      <c r="Q210" s="286">
        <f>SUM(Q211:Q217)</f>
        <v>0</v>
      </c>
      <c r="R210" s="286">
        <f>SUM(R211)</f>
        <v>778</v>
      </c>
      <c r="S210" s="286">
        <f>SUM(S211:S217)</f>
        <v>0</v>
      </c>
      <c r="T210" s="286">
        <f>SUM(T211:T217)</f>
        <v>800</v>
      </c>
      <c r="U210" s="11"/>
    </row>
    <row r="211" spans="1:21" s="11" customFormat="1" x14ac:dyDescent="0.25">
      <c r="A211" s="247"/>
      <c r="B211" s="217" t="s">
        <v>649</v>
      </c>
      <c r="C211" s="613">
        <f>SUM(D211:H211)</f>
        <v>14000</v>
      </c>
      <c r="D211" s="286"/>
      <c r="E211" s="286">
        <v>5000</v>
      </c>
      <c r="F211" s="286">
        <v>2000</v>
      </c>
      <c r="G211" s="286"/>
      <c r="H211" s="286">
        <v>7000</v>
      </c>
      <c r="I211" s="287">
        <f t="shared" si="40"/>
        <v>1578</v>
      </c>
      <c r="J211" s="286"/>
      <c r="K211" s="286"/>
      <c r="L211" s="286">
        <v>778</v>
      </c>
      <c r="M211" s="286">
        <v>0</v>
      </c>
      <c r="N211" s="286">
        <v>800</v>
      </c>
      <c r="O211" s="287">
        <f t="shared" si="41"/>
        <v>1578</v>
      </c>
      <c r="P211" s="286"/>
      <c r="Q211" s="286"/>
      <c r="R211" s="286">
        <v>778</v>
      </c>
      <c r="S211" s="286">
        <v>0</v>
      </c>
      <c r="T211" s="286">
        <v>800</v>
      </c>
    </row>
    <row r="212" spans="1:21" s="11" customFormat="1" ht="47.25" x14ac:dyDescent="0.25">
      <c r="A212" s="247"/>
      <c r="B212" s="217" t="s">
        <v>1312</v>
      </c>
      <c r="C212" s="613">
        <f>SUM(D212:H212)</f>
        <v>14094</v>
      </c>
      <c r="D212" s="286"/>
      <c r="E212" s="286">
        <v>9000</v>
      </c>
      <c r="F212" s="286"/>
      <c r="G212" s="286"/>
      <c r="H212" s="286">
        <v>5094</v>
      </c>
      <c r="I212" s="287"/>
      <c r="J212" s="286"/>
      <c r="K212" s="286"/>
      <c r="L212" s="286"/>
      <c r="M212" s="286"/>
      <c r="N212" s="286"/>
      <c r="O212" s="287"/>
      <c r="P212" s="286"/>
      <c r="Q212" s="286"/>
      <c r="R212" s="286"/>
      <c r="S212" s="286"/>
      <c r="T212" s="286"/>
    </row>
    <row r="213" spans="1:21" s="11" customFormat="1" ht="63" x14ac:dyDescent="0.25">
      <c r="A213" s="247"/>
      <c r="B213" s="434" t="s">
        <v>952</v>
      </c>
      <c r="C213" s="613">
        <f t="shared" ref="C213:C218" si="42">SUM(D213:H213)</f>
        <v>0</v>
      </c>
      <c r="D213" s="286"/>
      <c r="E213" s="286"/>
      <c r="F213" s="286">
        <f>F214</f>
        <v>0</v>
      </c>
      <c r="G213" s="286"/>
      <c r="H213" s="286"/>
      <c r="I213" s="287">
        <f t="shared" si="40"/>
        <v>60</v>
      </c>
      <c r="J213" s="286"/>
      <c r="K213" s="286"/>
      <c r="L213" s="286">
        <f>L214</f>
        <v>60</v>
      </c>
      <c r="M213" s="286"/>
      <c r="N213" s="286"/>
      <c r="O213" s="287">
        <f t="shared" si="41"/>
        <v>60</v>
      </c>
      <c r="P213" s="286"/>
      <c r="Q213" s="286"/>
      <c r="R213" s="286">
        <f>R214</f>
        <v>60</v>
      </c>
      <c r="S213" s="286"/>
      <c r="T213" s="286"/>
    </row>
    <row r="214" spans="1:21" s="11" customFormat="1" ht="31.5" x14ac:dyDescent="0.25">
      <c r="A214" s="247"/>
      <c r="B214" s="421" t="s">
        <v>1072</v>
      </c>
      <c r="C214" s="613">
        <f t="shared" si="42"/>
        <v>0</v>
      </c>
      <c r="D214" s="286"/>
      <c r="E214" s="286"/>
      <c r="F214" s="286"/>
      <c r="G214" s="286"/>
      <c r="H214" s="286"/>
      <c r="I214" s="287">
        <f t="shared" si="40"/>
        <v>60</v>
      </c>
      <c r="J214" s="286"/>
      <c r="K214" s="286"/>
      <c r="L214" s="286">
        <v>60</v>
      </c>
      <c r="M214" s="286"/>
      <c r="N214" s="286"/>
      <c r="O214" s="287">
        <f t="shared" si="41"/>
        <v>60</v>
      </c>
      <c r="P214" s="286"/>
      <c r="Q214" s="286"/>
      <c r="R214" s="286">
        <v>60</v>
      </c>
      <c r="S214" s="286"/>
      <c r="T214" s="286"/>
    </row>
    <row r="215" spans="1:21" s="11" customFormat="1" ht="47.25" x14ac:dyDescent="0.25">
      <c r="A215" s="247"/>
      <c r="B215" s="216" t="s">
        <v>951</v>
      </c>
      <c r="C215" s="613">
        <f t="shared" si="42"/>
        <v>0</v>
      </c>
      <c r="D215" s="286"/>
      <c r="E215" s="286"/>
      <c r="F215" s="286">
        <f>F216+F217+F218</f>
        <v>0</v>
      </c>
      <c r="G215" s="286"/>
      <c r="H215" s="286"/>
      <c r="I215" s="287">
        <f t="shared" si="40"/>
        <v>1612</v>
      </c>
      <c r="J215" s="286"/>
      <c r="K215" s="286"/>
      <c r="L215" s="286">
        <f>L216+L217+L218</f>
        <v>1612</v>
      </c>
      <c r="M215" s="286"/>
      <c r="N215" s="286"/>
      <c r="O215" s="287">
        <f t="shared" si="41"/>
        <v>1612</v>
      </c>
      <c r="P215" s="286"/>
      <c r="Q215" s="286"/>
      <c r="R215" s="286">
        <f>R216+R217+R218</f>
        <v>1612</v>
      </c>
      <c r="S215" s="286"/>
      <c r="T215" s="286"/>
    </row>
    <row r="216" spans="1:21" s="11" customFormat="1" ht="31.5" x14ac:dyDescent="0.25">
      <c r="A216" s="247"/>
      <c r="B216" s="217" t="s">
        <v>950</v>
      </c>
      <c r="C216" s="613">
        <f t="shared" si="42"/>
        <v>0</v>
      </c>
      <c r="D216" s="286"/>
      <c r="E216" s="286"/>
      <c r="F216" s="286"/>
      <c r="G216" s="286"/>
      <c r="H216" s="286"/>
      <c r="I216" s="287">
        <f t="shared" si="40"/>
        <v>0</v>
      </c>
      <c r="J216" s="286"/>
      <c r="K216" s="286"/>
      <c r="L216" s="286"/>
      <c r="M216" s="286"/>
      <c r="N216" s="286"/>
      <c r="O216" s="287">
        <f t="shared" si="41"/>
        <v>0</v>
      </c>
      <c r="P216" s="286"/>
      <c r="Q216" s="286"/>
      <c r="R216" s="286"/>
      <c r="S216" s="286"/>
      <c r="T216" s="286"/>
    </row>
    <row r="217" spans="1:21" s="11" customFormat="1" ht="31.5" x14ac:dyDescent="0.25">
      <c r="A217" s="247"/>
      <c r="B217" s="423" t="s">
        <v>1164</v>
      </c>
      <c r="C217" s="613">
        <f t="shared" si="42"/>
        <v>0</v>
      </c>
      <c r="D217" s="286"/>
      <c r="E217" s="286"/>
      <c r="F217" s="286"/>
      <c r="G217" s="286"/>
      <c r="H217" s="286"/>
      <c r="I217" s="287">
        <f t="shared" si="40"/>
        <v>112</v>
      </c>
      <c r="J217" s="286"/>
      <c r="K217" s="286"/>
      <c r="L217" s="286">
        <v>112</v>
      </c>
      <c r="M217" s="286"/>
      <c r="N217" s="286"/>
      <c r="O217" s="287">
        <f t="shared" si="41"/>
        <v>112</v>
      </c>
      <c r="P217" s="286"/>
      <c r="Q217" s="286"/>
      <c r="R217" s="286">
        <v>112</v>
      </c>
      <c r="S217" s="286"/>
      <c r="T217" s="286"/>
    </row>
    <row r="218" spans="1:21" s="11" customFormat="1" x14ac:dyDescent="0.25">
      <c r="A218" s="247"/>
      <c r="B218" s="423" t="s">
        <v>1165</v>
      </c>
      <c r="C218" s="613">
        <f t="shared" si="42"/>
        <v>0</v>
      </c>
      <c r="D218" s="286"/>
      <c r="E218" s="286"/>
      <c r="F218" s="286"/>
      <c r="G218" s="286"/>
      <c r="H218" s="286"/>
      <c r="I218" s="287">
        <f t="shared" si="40"/>
        <v>1500</v>
      </c>
      <c r="J218" s="286"/>
      <c r="K218" s="286"/>
      <c r="L218" s="286">
        <v>1500</v>
      </c>
      <c r="M218" s="286"/>
      <c r="N218" s="286"/>
      <c r="O218" s="287">
        <f t="shared" si="41"/>
        <v>1500</v>
      </c>
      <c r="P218" s="286"/>
      <c r="Q218" s="286"/>
      <c r="R218" s="286">
        <v>1500</v>
      </c>
      <c r="S218" s="286"/>
      <c r="T218" s="286"/>
    </row>
    <row r="219" spans="1:21" s="262" customFormat="1" ht="31.5" x14ac:dyDescent="0.25">
      <c r="A219" s="261"/>
      <c r="B219" s="219" t="s">
        <v>632</v>
      </c>
      <c r="C219" s="613">
        <f t="shared" ref="C219:C224" si="43">SUM(D219:H219)</f>
        <v>6928</v>
      </c>
      <c r="D219" s="288">
        <f>D220+D221</f>
        <v>1028</v>
      </c>
      <c r="E219" s="288">
        <f>E220+E221</f>
        <v>2400</v>
      </c>
      <c r="F219" s="288">
        <f>F220+F221</f>
        <v>0</v>
      </c>
      <c r="G219" s="288">
        <f>G220+G221</f>
        <v>0</v>
      </c>
      <c r="H219" s="288">
        <f>H220+H221</f>
        <v>3500</v>
      </c>
      <c r="I219" s="287">
        <f t="shared" si="40"/>
        <v>5807.52</v>
      </c>
      <c r="J219" s="288">
        <f>J220+J221</f>
        <v>0</v>
      </c>
      <c r="K219" s="288">
        <f>K220+K221</f>
        <v>2596.12</v>
      </c>
      <c r="L219" s="288">
        <f>L222+L223+L224</f>
        <v>411.40000000000003</v>
      </c>
      <c r="M219" s="288">
        <f>M220+M221</f>
        <v>0</v>
      </c>
      <c r="N219" s="288">
        <f>N220+N221</f>
        <v>2800</v>
      </c>
      <c r="O219" s="287">
        <f t="shared" si="41"/>
        <v>5455.8899999999994</v>
      </c>
      <c r="P219" s="288">
        <f>P220+P221</f>
        <v>0</v>
      </c>
      <c r="Q219" s="288">
        <f>Q220+Q221</f>
        <v>2564.4899999999998</v>
      </c>
      <c r="R219" s="288">
        <f>R222+R223+R224+R220</f>
        <v>91.4</v>
      </c>
      <c r="S219" s="288">
        <f>S220+S221</f>
        <v>0</v>
      </c>
      <c r="T219" s="288">
        <f>T220+T221</f>
        <v>2800</v>
      </c>
    </row>
    <row r="220" spans="1:21" s="11" customFormat="1" ht="31.5" x14ac:dyDescent="0.25">
      <c r="A220" s="247"/>
      <c r="B220" s="217" t="s">
        <v>633</v>
      </c>
      <c r="C220" s="613">
        <f t="shared" si="43"/>
        <v>6928</v>
      </c>
      <c r="D220" s="286">
        <v>1028</v>
      </c>
      <c r="E220" s="286">
        <v>2400</v>
      </c>
      <c r="F220" s="286"/>
      <c r="G220" s="286"/>
      <c r="H220" s="286">
        <v>3500</v>
      </c>
      <c r="I220" s="287">
        <f t="shared" si="40"/>
        <v>5396.12</v>
      </c>
      <c r="J220" s="286"/>
      <c r="K220" s="286">
        <v>2596.12</v>
      </c>
      <c r="L220" s="286"/>
      <c r="M220" s="286"/>
      <c r="N220" s="286">
        <v>2800</v>
      </c>
      <c r="O220" s="287">
        <f t="shared" si="41"/>
        <v>5364.49</v>
      </c>
      <c r="P220" s="286"/>
      <c r="Q220" s="286">
        <v>2564.4899999999998</v>
      </c>
      <c r="R220" s="286"/>
      <c r="S220" s="286"/>
      <c r="T220" s="286">
        <v>2800</v>
      </c>
    </row>
    <row r="221" spans="1:21" s="11" customFormat="1" ht="63.75" customHeight="1" x14ac:dyDescent="0.25">
      <c r="A221" s="247"/>
      <c r="B221" s="217" t="s">
        <v>634</v>
      </c>
      <c r="C221" s="613">
        <f t="shared" si="43"/>
        <v>0</v>
      </c>
      <c r="D221" s="286"/>
      <c r="E221" s="286">
        <v>0</v>
      </c>
      <c r="F221" s="286"/>
      <c r="G221" s="286"/>
      <c r="H221" s="286"/>
      <c r="I221" s="287">
        <f t="shared" si="40"/>
        <v>0</v>
      </c>
      <c r="J221" s="286">
        <v>0</v>
      </c>
      <c r="K221" s="286"/>
      <c r="L221" s="286"/>
      <c r="M221" s="286">
        <v>0</v>
      </c>
      <c r="N221" s="286"/>
      <c r="O221" s="287">
        <f t="shared" si="41"/>
        <v>0</v>
      </c>
      <c r="P221" s="286">
        <v>0</v>
      </c>
      <c r="Q221" s="286">
        <v>0</v>
      </c>
      <c r="R221" s="286"/>
      <c r="S221" s="286">
        <v>0</v>
      </c>
      <c r="T221" s="286"/>
    </row>
    <row r="222" spans="1:21" s="11" customFormat="1" x14ac:dyDescent="0.25">
      <c r="A222" s="247"/>
      <c r="B222" s="217" t="s">
        <v>1075</v>
      </c>
      <c r="C222" s="613">
        <f t="shared" si="43"/>
        <v>0</v>
      </c>
      <c r="D222" s="286"/>
      <c r="E222" s="286"/>
      <c r="F222" s="286"/>
      <c r="G222" s="286"/>
      <c r="H222" s="286"/>
      <c r="I222" s="287">
        <f t="shared" si="40"/>
        <v>40</v>
      </c>
      <c r="J222" s="286"/>
      <c r="K222" s="286"/>
      <c r="L222" s="286">
        <v>40</v>
      </c>
      <c r="M222" s="286"/>
      <c r="N222" s="286"/>
      <c r="O222" s="287">
        <f t="shared" si="41"/>
        <v>40</v>
      </c>
      <c r="P222" s="286"/>
      <c r="Q222" s="286"/>
      <c r="R222" s="286">
        <v>40</v>
      </c>
      <c r="S222" s="286"/>
      <c r="T222" s="286"/>
    </row>
    <row r="223" spans="1:21" s="11" customFormat="1" ht="48" customHeight="1" x14ac:dyDescent="0.25">
      <c r="A223" s="247"/>
      <c r="B223" s="217" t="s">
        <v>1166</v>
      </c>
      <c r="C223" s="613">
        <f t="shared" si="43"/>
        <v>0</v>
      </c>
      <c r="D223" s="286"/>
      <c r="E223" s="286"/>
      <c r="F223" s="286"/>
      <c r="G223" s="286"/>
      <c r="H223" s="286"/>
      <c r="I223" s="287">
        <f t="shared" si="40"/>
        <v>113.3</v>
      </c>
      <c r="J223" s="286"/>
      <c r="K223" s="286"/>
      <c r="L223" s="286">
        <v>113.3</v>
      </c>
      <c r="M223" s="286"/>
      <c r="N223" s="286"/>
      <c r="O223" s="287">
        <f t="shared" si="41"/>
        <v>0</v>
      </c>
      <c r="P223" s="286"/>
      <c r="Q223" s="286"/>
      <c r="R223" s="286"/>
      <c r="S223" s="286"/>
      <c r="T223" s="286"/>
    </row>
    <row r="224" spans="1:21" s="11" customFormat="1" ht="31.5" x14ac:dyDescent="0.25">
      <c r="A224" s="247"/>
      <c r="B224" s="217" t="s">
        <v>1167</v>
      </c>
      <c r="C224" s="613">
        <f t="shared" si="43"/>
        <v>0</v>
      </c>
      <c r="D224" s="286"/>
      <c r="E224" s="286"/>
      <c r="F224" s="286"/>
      <c r="G224" s="286"/>
      <c r="H224" s="286"/>
      <c r="I224" s="287">
        <f t="shared" si="40"/>
        <v>258.10000000000002</v>
      </c>
      <c r="J224" s="286"/>
      <c r="K224" s="286"/>
      <c r="L224" s="286">
        <v>258.10000000000002</v>
      </c>
      <c r="M224" s="286"/>
      <c r="N224" s="286"/>
      <c r="O224" s="287">
        <f t="shared" si="41"/>
        <v>51.4</v>
      </c>
      <c r="P224" s="286"/>
      <c r="Q224" s="286"/>
      <c r="R224" s="286">
        <v>51.4</v>
      </c>
      <c r="S224" s="286"/>
      <c r="T224" s="286"/>
    </row>
    <row r="225" spans="1:20" s="262" customFormat="1" x14ac:dyDescent="0.25">
      <c r="A225" s="261"/>
      <c r="B225" s="215" t="s">
        <v>256</v>
      </c>
      <c r="C225" s="613">
        <f t="shared" ref="C225:C248" si="44">SUM(D225:H225)</f>
        <v>6720</v>
      </c>
      <c r="D225" s="288">
        <f>D227+D229+D232</f>
        <v>3000</v>
      </c>
      <c r="E225" s="288">
        <f>E227+E229+E232+E226</f>
        <v>2930</v>
      </c>
      <c r="F225" s="288">
        <f t="shared" ref="F225:G225" si="45">F227+F229+F232+F226</f>
        <v>0</v>
      </c>
      <c r="G225" s="288">
        <f t="shared" si="45"/>
        <v>0</v>
      </c>
      <c r="H225" s="288">
        <f>H227+H229+H232+H226</f>
        <v>790</v>
      </c>
      <c r="I225" s="287">
        <f t="shared" si="40"/>
        <v>3115.2665000000002</v>
      </c>
      <c r="J225" s="288">
        <f>J227+J229+J232</f>
        <v>0</v>
      </c>
      <c r="K225" s="288">
        <f>K227+K229+K232+K226+K234</f>
        <v>3108.2785000000003</v>
      </c>
      <c r="L225" s="288">
        <f>L227+L229+L232+L226</f>
        <v>6.9880000000000004</v>
      </c>
      <c r="M225" s="288">
        <f>M227+M229+M232+M234</f>
        <v>0</v>
      </c>
      <c r="N225" s="288">
        <f>N227+N229+N232+N234</f>
        <v>0</v>
      </c>
      <c r="O225" s="287">
        <f t="shared" si="41"/>
        <v>2421.2779999999998</v>
      </c>
      <c r="P225" s="288">
        <f>P227+P229+P232</f>
        <v>0</v>
      </c>
      <c r="Q225" s="288">
        <f>Q227+Q229+Q232+Q234+Q226</f>
        <v>2414.288</v>
      </c>
      <c r="R225" s="288">
        <f>R227+R229+R232+R234+R226</f>
        <v>6.99</v>
      </c>
      <c r="S225" s="288">
        <f>S227+S229+S232+S234</f>
        <v>0</v>
      </c>
      <c r="T225" s="288">
        <f>T227+T229+T232+T234</f>
        <v>0</v>
      </c>
    </row>
    <row r="226" spans="1:20" s="11" customFormat="1" ht="47.25" x14ac:dyDescent="0.25">
      <c r="A226" s="247"/>
      <c r="B226" s="220" t="s">
        <v>949</v>
      </c>
      <c r="C226" s="614">
        <f t="shared" si="44"/>
        <v>0</v>
      </c>
      <c r="D226" s="286"/>
      <c r="E226" s="286"/>
      <c r="F226" s="286"/>
      <c r="G226" s="286"/>
      <c r="H226" s="286"/>
      <c r="I226" s="287">
        <f t="shared" si="40"/>
        <v>0</v>
      </c>
      <c r="J226" s="286"/>
      <c r="K226" s="286"/>
      <c r="L226" s="286"/>
      <c r="M226" s="286"/>
      <c r="N226" s="286"/>
      <c r="O226" s="287">
        <f t="shared" si="41"/>
        <v>0</v>
      </c>
      <c r="P226" s="286"/>
      <c r="Q226" s="286"/>
      <c r="R226" s="286"/>
      <c r="S226" s="286"/>
      <c r="T226" s="286"/>
    </row>
    <row r="227" spans="1:20" s="11" customFormat="1" ht="31.5" x14ac:dyDescent="0.25">
      <c r="A227" s="247"/>
      <c r="B227" s="216" t="s">
        <v>635</v>
      </c>
      <c r="C227" s="613">
        <f>SUM(D227:H227)</f>
        <v>2150</v>
      </c>
      <c r="D227" s="286">
        <f>D228</f>
        <v>0</v>
      </c>
      <c r="E227" s="286">
        <f>E228</f>
        <v>1700</v>
      </c>
      <c r="F227" s="286">
        <f>F228</f>
        <v>0</v>
      </c>
      <c r="G227" s="286">
        <f>G228</f>
        <v>0</v>
      </c>
      <c r="H227" s="286">
        <f>H228</f>
        <v>450</v>
      </c>
      <c r="I227" s="287">
        <f t="shared" si="40"/>
        <v>6.9880000000000004</v>
      </c>
      <c r="J227" s="286">
        <f>J228</f>
        <v>0</v>
      </c>
      <c r="K227" s="286">
        <f>K228</f>
        <v>0</v>
      </c>
      <c r="L227" s="286">
        <f>L228+L230</f>
        <v>6.9880000000000004</v>
      </c>
      <c r="M227" s="286">
        <f>M228</f>
        <v>0</v>
      </c>
      <c r="N227" s="286">
        <f>N228</f>
        <v>0</v>
      </c>
      <c r="O227" s="287">
        <f t="shared" si="41"/>
        <v>0</v>
      </c>
      <c r="P227" s="286">
        <f>P228</f>
        <v>0</v>
      </c>
      <c r="Q227" s="286">
        <f>Q228</f>
        <v>0</v>
      </c>
      <c r="R227" s="286">
        <f>R228</f>
        <v>0</v>
      </c>
      <c r="S227" s="286">
        <f>S228</f>
        <v>0</v>
      </c>
      <c r="T227" s="286">
        <f>T228</f>
        <v>0</v>
      </c>
    </row>
    <row r="228" spans="1:20" s="11" customFormat="1" ht="31.5" x14ac:dyDescent="0.25">
      <c r="A228" s="247"/>
      <c r="B228" s="217" t="s">
        <v>636</v>
      </c>
      <c r="C228" s="613">
        <f t="shared" si="44"/>
        <v>2150</v>
      </c>
      <c r="D228" s="286">
        <v>0</v>
      </c>
      <c r="E228" s="286">
        <v>1700</v>
      </c>
      <c r="F228" s="286">
        <v>0</v>
      </c>
      <c r="G228" s="286">
        <v>0</v>
      </c>
      <c r="H228" s="286">
        <v>450</v>
      </c>
      <c r="I228" s="287">
        <f t="shared" si="40"/>
        <v>0</v>
      </c>
      <c r="J228" s="286"/>
      <c r="K228" s="286"/>
      <c r="L228" s="286"/>
      <c r="M228" s="286"/>
      <c r="N228" s="286"/>
      <c r="O228" s="287">
        <f t="shared" si="41"/>
        <v>0</v>
      </c>
      <c r="P228" s="286"/>
      <c r="Q228" s="286"/>
      <c r="R228" s="286"/>
      <c r="S228" s="286"/>
      <c r="T228" s="286">
        <v>0</v>
      </c>
    </row>
    <row r="229" spans="1:20" s="11" customFormat="1" ht="49.5" customHeight="1" x14ac:dyDescent="0.25">
      <c r="A229" s="247"/>
      <c r="B229" s="216" t="s">
        <v>637</v>
      </c>
      <c r="C229" s="613">
        <f>C230+C231</f>
        <v>1090</v>
      </c>
      <c r="D229" s="286">
        <f>SUM(D230:D231)</f>
        <v>0</v>
      </c>
      <c r="E229" s="286">
        <f>SUM(E230:E231)</f>
        <v>900</v>
      </c>
      <c r="F229" s="286">
        <f>SUM(F230:F231)</f>
        <v>0</v>
      </c>
      <c r="G229" s="286">
        <f>SUM(G230:G231)</f>
        <v>0</v>
      </c>
      <c r="H229" s="286">
        <f>H230+H231</f>
        <v>190</v>
      </c>
      <c r="I229" s="287">
        <f t="shared" si="40"/>
        <v>295.2285</v>
      </c>
      <c r="J229" s="286">
        <f>J230+J231</f>
        <v>0</v>
      </c>
      <c r="K229" s="286">
        <f>K230+K231</f>
        <v>295.2285</v>
      </c>
      <c r="L229" s="286"/>
      <c r="M229" s="286">
        <f>M230+M231</f>
        <v>0</v>
      </c>
      <c r="N229" s="286">
        <f>N230+N231</f>
        <v>0</v>
      </c>
      <c r="O229" s="287">
        <f t="shared" si="41"/>
        <v>257.12799999999999</v>
      </c>
      <c r="P229" s="286">
        <f>P230+P231</f>
        <v>0</v>
      </c>
      <c r="Q229" s="286">
        <f>Q230+Q231</f>
        <v>250.13800000000001</v>
      </c>
      <c r="R229" s="286">
        <f>R230</f>
        <v>6.99</v>
      </c>
      <c r="S229" s="286">
        <f>S230+S231</f>
        <v>0</v>
      </c>
      <c r="T229" s="286">
        <f>T230+T231</f>
        <v>0</v>
      </c>
    </row>
    <row r="230" spans="1:20" s="11" customFormat="1" ht="31.5" x14ac:dyDescent="0.25">
      <c r="A230" s="247"/>
      <c r="B230" s="217" t="s">
        <v>638</v>
      </c>
      <c r="C230" s="613">
        <f t="shared" ref="C230:C235" si="46">SUM(D230:H230)</f>
        <v>690</v>
      </c>
      <c r="D230" s="286"/>
      <c r="E230" s="286">
        <v>690</v>
      </c>
      <c r="F230" s="286"/>
      <c r="G230" s="286"/>
      <c r="H230" s="286">
        <v>0</v>
      </c>
      <c r="I230" s="287">
        <f t="shared" si="40"/>
        <v>218.9725</v>
      </c>
      <c r="J230" s="286"/>
      <c r="K230" s="286">
        <v>211.9845</v>
      </c>
      <c r="L230" s="286">
        <v>6.9880000000000004</v>
      </c>
      <c r="M230" s="286"/>
      <c r="N230" s="286">
        <v>0</v>
      </c>
      <c r="O230" s="287">
        <f t="shared" si="41"/>
        <v>218.97450000000001</v>
      </c>
      <c r="P230" s="286"/>
      <c r="Q230" s="286">
        <v>211.9845</v>
      </c>
      <c r="R230" s="286">
        <v>6.99</v>
      </c>
      <c r="S230" s="286"/>
      <c r="T230" s="286">
        <v>0</v>
      </c>
    </row>
    <row r="231" spans="1:20" s="11" customFormat="1" ht="35.25" customHeight="1" x14ac:dyDescent="0.25">
      <c r="A231" s="247"/>
      <c r="B231" s="217" t="s">
        <v>639</v>
      </c>
      <c r="C231" s="613">
        <f t="shared" si="46"/>
        <v>400</v>
      </c>
      <c r="D231" s="286"/>
      <c r="E231" s="286">
        <v>210</v>
      </c>
      <c r="F231" s="286">
        <v>0</v>
      </c>
      <c r="G231" s="286"/>
      <c r="H231" s="286">
        <v>190</v>
      </c>
      <c r="I231" s="287">
        <f t="shared" si="40"/>
        <v>83.244</v>
      </c>
      <c r="J231" s="286"/>
      <c r="K231" s="286">
        <v>83.244</v>
      </c>
      <c r="L231" s="286">
        <v>0</v>
      </c>
      <c r="M231" s="286">
        <v>0</v>
      </c>
      <c r="N231" s="286">
        <v>0</v>
      </c>
      <c r="O231" s="287">
        <f t="shared" si="41"/>
        <v>38.153500000000001</v>
      </c>
      <c r="P231" s="286"/>
      <c r="Q231" s="286">
        <v>38.153500000000001</v>
      </c>
      <c r="R231" s="286">
        <v>0</v>
      </c>
      <c r="S231" s="286">
        <v>0</v>
      </c>
      <c r="T231" s="286">
        <v>0</v>
      </c>
    </row>
    <row r="232" spans="1:20" s="11" customFormat="1" ht="31.5" x14ac:dyDescent="0.25">
      <c r="A232" s="247"/>
      <c r="B232" s="216" t="s">
        <v>640</v>
      </c>
      <c r="C232" s="613">
        <f t="shared" si="46"/>
        <v>3480</v>
      </c>
      <c r="D232" s="286">
        <f>SUM(D233:D233)</f>
        <v>3000</v>
      </c>
      <c r="E232" s="286">
        <f>SUM(E233:E233)</f>
        <v>330</v>
      </c>
      <c r="F232" s="286">
        <f>SUM(F233:F233)</f>
        <v>0</v>
      </c>
      <c r="G232" s="286">
        <v>0</v>
      </c>
      <c r="H232" s="286">
        <f>SUM(H233:H233)</f>
        <v>150</v>
      </c>
      <c r="I232" s="287">
        <f t="shared" si="40"/>
        <v>0</v>
      </c>
      <c r="J232" s="286">
        <f>SUM(J233:J233)</f>
        <v>0</v>
      </c>
      <c r="K232" s="286">
        <f>SUM(K233:K233)</f>
        <v>0</v>
      </c>
      <c r="L232" s="286">
        <f>SUM(L233:L233)</f>
        <v>0</v>
      </c>
      <c r="M232" s="286"/>
      <c r="N232" s="286"/>
      <c r="O232" s="287">
        <f t="shared" si="41"/>
        <v>0</v>
      </c>
      <c r="P232" s="286">
        <f>SUM(P233:P233)</f>
        <v>0</v>
      </c>
      <c r="Q232" s="286">
        <f>SUM(Q233:Q233)</f>
        <v>0</v>
      </c>
      <c r="R232" s="286">
        <f>SUM(R233:R233)</f>
        <v>0</v>
      </c>
      <c r="S232" s="286">
        <f>SUM(S233:S233)</f>
        <v>0</v>
      </c>
      <c r="T232" s="286">
        <f>SUM(T233:T233)</f>
        <v>0</v>
      </c>
    </row>
    <row r="233" spans="1:20" s="11" customFormat="1" x14ac:dyDescent="0.25">
      <c r="A233" s="247"/>
      <c r="B233" s="217" t="s">
        <v>641</v>
      </c>
      <c r="C233" s="613">
        <f t="shared" si="46"/>
        <v>3480</v>
      </c>
      <c r="D233" s="286">
        <v>3000</v>
      </c>
      <c r="E233" s="286">
        <v>330</v>
      </c>
      <c r="F233" s="286"/>
      <c r="G233" s="286"/>
      <c r="H233" s="286">
        <v>150</v>
      </c>
      <c r="I233" s="287">
        <f t="shared" si="40"/>
        <v>0</v>
      </c>
      <c r="J233" s="286"/>
      <c r="K233" s="286"/>
      <c r="L233" s="286"/>
      <c r="M233" s="286"/>
      <c r="N233" s="286"/>
      <c r="O233" s="287">
        <f t="shared" si="41"/>
        <v>0</v>
      </c>
      <c r="P233" s="286"/>
      <c r="Q233" s="286"/>
      <c r="R233" s="286"/>
      <c r="S233" s="286"/>
      <c r="T233" s="286"/>
    </row>
    <row r="234" spans="1:20" s="11" customFormat="1" ht="31.5" x14ac:dyDescent="0.25">
      <c r="A234" s="247"/>
      <c r="B234" s="217" t="s">
        <v>642</v>
      </c>
      <c r="C234" s="613">
        <f t="shared" si="46"/>
        <v>0</v>
      </c>
      <c r="D234" s="286"/>
      <c r="E234" s="286"/>
      <c r="F234" s="286"/>
      <c r="G234" s="286"/>
      <c r="H234" s="286"/>
      <c r="I234" s="287">
        <f t="shared" si="40"/>
        <v>2813.05</v>
      </c>
      <c r="J234" s="286"/>
      <c r="K234" s="286">
        <v>2813.05</v>
      </c>
      <c r="L234" s="286"/>
      <c r="M234" s="286"/>
      <c r="N234" s="286"/>
      <c r="O234" s="287">
        <f t="shared" si="41"/>
        <v>2164.15</v>
      </c>
      <c r="P234" s="286"/>
      <c r="Q234" s="286">
        <v>2164.15</v>
      </c>
      <c r="R234" s="286"/>
      <c r="S234" s="286"/>
      <c r="T234" s="286"/>
    </row>
    <row r="235" spans="1:20" s="262" customFormat="1" x14ac:dyDescent="0.25">
      <c r="A235" s="261"/>
      <c r="B235" s="219" t="s">
        <v>643</v>
      </c>
      <c r="C235" s="613">
        <f t="shared" si="46"/>
        <v>21965</v>
      </c>
      <c r="D235" s="288">
        <f>D236+D237+D238+D239</f>
        <v>0</v>
      </c>
      <c r="E235" s="288">
        <f>E236+E237+E238+E239</f>
        <v>10015</v>
      </c>
      <c r="F235" s="288">
        <f>F236+F237+F238+F239</f>
        <v>5000</v>
      </c>
      <c r="G235" s="288">
        <f t="shared" ref="G235:H235" si="47">G236+G237+G238+G239</f>
        <v>900</v>
      </c>
      <c r="H235" s="288">
        <f t="shared" si="47"/>
        <v>6050</v>
      </c>
      <c r="I235" s="287">
        <f t="shared" si="40"/>
        <v>11173.824000000001</v>
      </c>
      <c r="J235" s="288">
        <f t="shared" ref="J235:P235" si="48">J236+J237+J238+J239</f>
        <v>0</v>
      </c>
      <c r="K235" s="288">
        <f>K236+K237+K238+K239</f>
        <v>5143.8239999999996</v>
      </c>
      <c r="L235" s="288">
        <f>L236+L237+L238+L239</f>
        <v>5000</v>
      </c>
      <c r="M235" s="288">
        <f t="shared" si="48"/>
        <v>0</v>
      </c>
      <c r="N235" s="288">
        <f t="shared" si="48"/>
        <v>1030</v>
      </c>
      <c r="O235" s="287">
        <f t="shared" si="41"/>
        <v>11173.824000000001</v>
      </c>
      <c r="P235" s="288">
        <f t="shared" si="48"/>
        <v>0</v>
      </c>
      <c r="Q235" s="288">
        <f>Q236+Q237+Q238+Q239</f>
        <v>5143.82</v>
      </c>
      <c r="R235" s="288">
        <f>R236+R237+R238+R239</f>
        <v>5000.0039999999999</v>
      </c>
      <c r="S235" s="288">
        <f>S236+S237+S238+S239</f>
        <v>0</v>
      </c>
      <c r="T235" s="288">
        <f>T236+T237+T238+T239</f>
        <v>1030</v>
      </c>
    </row>
    <row r="236" spans="1:20" s="11" customFormat="1" ht="31.5" x14ac:dyDescent="0.25">
      <c r="A236" s="247"/>
      <c r="B236" s="217" t="s">
        <v>644</v>
      </c>
      <c r="C236" s="613">
        <f t="shared" si="44"/>
        <v>6155</v>
      </c>
      <c r="D236" s="286">
        <v>0</v>
      </c>
      <c r="E236" s="286">
        <v>3505</v>
      </c>
      <c r="F236" s="286">
        <v>2150</v>
      </c>
      <c r="G236" s="286">
        <v>0</v>
      </c>
      <c r="H236" s="286">
        <v>500</v>
      </c>
      <c r="I236" s="287">
        <f t="shared" si="40"/>
        <v>5159.6000000000004</v>
      </c>
      <c r="J236" s="286">
        <f>J237</f>
        <v>0</v>
      </c>
      <c r="K236" s="286">
        <v>2372.1999999999998</v>
      </c>
      <c r="L236" s="286">
        <v>2487.4</v>
      </c>
      <c r="M236" s="286"/>
      <c r="N236" s="286">
        <v>300</v>
      </c>
      <c r="O236" s="287">
        <f t="shared" si="41"/>
        <v>5159.6000000000004</v>
      </c>
      <c r="P236" s="286"/>
      <c r="Q236" s="286">
        <v>2372.1999999999998</v>
      </c>
      <c r="R236" s="286">
        <v>2487.4</v>
      </c>
      <c r="S236" s="286"/>
      <c r="T236" s="286">
        <v>300</v>
      </c>
    </row>
    <row r="237" spans="1:20" s="11" customFormat="1" ht="47.25" x14ac:dyDescent="0.25">
      <c r="A237" s="247"/>
      <c r="B237" s="217" t="s">
        <v>645</v>
      </c>
      <c r="C237" s="613">
        <f t="shared" si="44"/>
        <v>5400</v>
      </c>
      <c r="D237" s="286"/>
      <c r="E237" s="286">
        <v>2400</v>
      </c>
      <c r="F237" s="286">
        <v>1200</v>
      </c>
      <c r="G237" s="286">
        <v>600</v>
      </c>
      <c r="H237" s="286">
        <v>1200</v>
      </c>
      <c r="I237" s="287">
        <f t="shared" si="40"/>
        <v>5034.6039999999994</v>
      </c>
      <c r="J237" s="286"/>
      <c r="K237" s="286">
        <v>2771.6239999999998</v>
      </c>
      <c r="L237" s="286">
        <v>1812.98</v>
      </c>
      <c r="M237" s="286"/>
      <c r="N237" s="286">
        <v>450</v>
      </c>
      <c r="O237" s="287">
        <f t="shared" si="41"/>
        <v>5034.6000000000004</v>
      </c>
      <c r="P237" s="286"/>
      <c r="Q237" s="286">
        <v>2771.62</v>
      </c>
      <c r="R237" s="286">
        <v>1812.98</v>
      </c>
      <c r="S237" s="286"/>
      <c r="T237" s="286">
        <v>450</v>
      </c>
    </row>
    <row r="238" spans="1:20" s="11" customFormat="1" ht="47.25" x14ac:dyDescent="0.25">
      <c r="A238" s="247"/>
      <c r="B238" s="217" t="s">
        <v>646</v>
      </c>
      <c r="C238" s="613">
        <f t="shared" si="44"/>
        <v>2410</v>
      </c>
      <c r="D238" s="286"/>
      <c r="E238" s="286">
        <v>110</v>
      </c>
      <c r="F238" s="286">
        <v>1650</v>
      </c>
      <c r="G238" s="286">
        <v>300</v>
      </c>
      <c r="H238" s="286">
        <v>350</v>
      </c>
      <c r="I238" s="287">
        <f t="shared" si="40"/>
        <v>0</v>
      </c>
      <c r="J238" s="286"/>
      <c r="K238" s="286"/>
      <c r="L238" s="286"/>
      <c r="M238" s="286"/>
      <c r="N238" s="286"/>
      <c r="O238" s="287">
        <f t="shared" si="41"/>
        <v>0</v>
      </c>
      <c r="P238" s="286"/>
      <c r="Q238" s="286"/>
      <c r="R238" s="286"/>
      <c r="S238" s="286"/>
      <c r="T238" s="286"/>
    </row>
    <row r="239" spans="1:20" s="11" customFormat="1" ht="63" x14ac:dyDescent="0.25">
      <c r="A239" s="247"/>
      <c r="B239" s="217" t="s">
        <v>647</v>
      </c>
      <c r="C239" s="613">
        <f t="shared" si="44"/>
        <v>8000</v>
      </c>
      <c r="D239" s="286"/>
      <c r="E239" s="286">
        <v>4000</v>
      </c>
      <c r="F239" s="286"/>
      <c r="G239" s="286"/>
      <c r="H239" s="286">
        <v>4000</v>
      </c>
      <c r="I239" s="287">
        <f t="shared" si="40"/>
        <v>979.62</v>
      </c>
      <c r="J239" s="286"/>
      <c r="K239" s="286"/>
      <c r="L239" s="286">
        <v>699.62</v>
      </c>
      <c r="M239" s="286"/>
      <c r="N239" s="286">
        <v>280</v>
      </c>
      <c r="O239" s="287">
        <f t="shared" si="41"/>
        <v>979.62400000000002</v>
      </c>
      <c r="P239" s="286"/>
      <c r="Q239" s="286"/>
      <c r="R239" s="286">
        <v>699.62400000000002</v>
      </c>
      <c r="S239" s="286"/>
      <c r="T239" s="286">
        <v>280</v>
      </c>
    </row>
    <row r="240" spans="1:20" s="262" customFormat="1" ht="47.25" x14ac:dyDescent="0.25">
      <c r="A240" s="261"/>
      <c r="B240" s="215" t="s">
        <v>282</v>
      </c>
      <c r="C240" s="614">
        <f>SUM(D240:H240)</f>
        <v>179437</v>
      </c>
      <c r="D240" s="288">
        <f>D241+D243+D245+D247</f>
        <v>12500</v>
      </c>
      <c r="E240" s="288">
        <f>E241+E243+E245+E247</f>
        <v>123125</v>
      </c>
      <c r="F240" s="288">
        <f t="shared" ref="F240:G240" si="49">F241+F243+F245+F247</f>
        <v>1602</v>
      </c>
      <c r="G240" s="288">
        <f t="shared" si="49"/>
        <v>500</v>
      </c>
      <c r="H240" s="288">
        <f>H241+H243+H245+H247</f>
        <v>41710</v>
      </c>
      <c r="I240" s="287">
        <f t="shared" si="40"/>
        <v>145670</v>
      </c>
      <c r="J240" s="288">
        <f>J242+J243+J244+J241</f>
        <v>0</v>
      </c>
      <c r="K240" s="288">
        <f>K241+K243</f>
        <v>112000</v>
      </c>
      <c r="L240" s="288">
        <f>L241+L243</f>
        <v>1580</v>
      </c>
      <c r="M240" s="288">
        <f>M241+M243</f>
        <v>0</v>
      </c>
      <c r="N240" s="288">
        <f>N241+N243</f>
        <v>32090</v>
      </c>
      <c r="O240" s="287">
        <f t="shared" si="41"/>
        <v>145670</v>
      </c>
      <c r="P240" s="288">
        <f>P242+P243+P244+P241</f>
        <v>0</v>
      </c>
      <c r="Q240" s="288">
        <f>Q241+Q243</f>
        <v>112000</v>
      </c>
      <c r="R240" s="288">
        <f>R241+R243</f>
        <v>1580</v>
      </c>
      <c r="S240" s="288">
        <f>S241+S243</f>
        <v>0</v>
      </c>
      <c r="T240" s="288">
        <f>T241+T243</f>
        <v>32090</v>
      </c>
    </row>
    <row r="241" spans="1:20" s="11" customFormat="1" ht="47.25" x14ac:dyDescent="0.25">
      <c r="A241" s="247"/>
      <c r="B241" s="216" t="s">
        <v>1076</v>
      </c>
      <c r="C241" s="613">
        <f>SUM(D241:H241)</f>
        <v>137475</v>
      </c>
      <c r="D241" s="286"/>
      <c r="E241" s="286">
        <f>E242</f>
        <v>106925</v>
      </c>
      <c r="F241" s="590"/>
      <c r="G241" s="286"/>
      <c r="H241" s="286">
        <f>H242</f>
        <v>30550</v>
      </c>
      <c r="I241" s="287">
        <f t="shared" si="40"/>
        <v>145500</v>
      </c>
      <c r="J241" s="286"/>
      <c r="K241" s="286">
        <f>K242</f>
        <v>112000</v>
      </c>
      <c r="L241" s="286">
        <f>L242</f>
        <v>1500</v>
      </c>
      <c r="M241" s="286"/>
      <c r="N241" s="286">
        <f>N242</f>
        <v>32000</v>
      </c>
      <c r="O241" s="287">
        <f t="shared" si="41"/>
        <v>145500</v>
      </c>
      <c r="P241" s="286"/>
      <c r="Q241" s="286">
        <f>Q242</f>
        <v>112000</v>
      </c>
      <c r="R241" s="286">
        <f>R242</f>
        <v>1500</v>
      </c>
      <c r="S241" s="286"/>
      <c r="T241" s="286">
        <f>T242</f>
        <v>32000</v>
      </c>
    </row>
    <row r="242" spans="1:20" s="11" customFormat="1" ht="63" x14ac:dyDescent="0.25">
      <c r="A242" s="247"/>
      <c r="B242" s="217" t="s">
        <v>1077</v>
      </c>
      <c r="C242" s="613">
        <f t="shared" si="44"/>
        <v>137475</v>
      </c>
      <c r="D242" s="286"/>
      <c r="E242" s="286">
        <v>106925</v>
      </c>
      <c r="F242" s="590"/>
      <c r="G242" s="286"/>
      <c r="H242" s="286">
        <v>30550</v>
      </c>
      <c r="I242" s="287">
        <f t="shared" si="40"/>
        <v>145500</v>
      </c>
      <c r="J242" s="286"/>
      <c r="K242" s="286">
        <v>112000</v>
      </c>
      <c r="L242" s="286">
        <v>1500</v>
      </c>
      <c r="M242" s="286"/>
      <c r="N242" s="286">
        <v>32000</v>
      </c>
      <c r="O242" s="287">
        <f t="shared" si="41"/>
        <v>145500</v>
      </c>
      <c r="P242" s="286"/>
      <c r="Q242" s="286">
        <v>112000</v>
      </c>
      <c r="R242" s="286">
        <v>1500</v>
      </c>
      <c r="S242" s="286"/>
      <c r="T242" s="286">
        <v>32000</v>
      </c>
    </row>
    <row r="243" spans="1:20" s="11" customFormat="1" ht="31.5" x14ac:dyDescent="0.25">
      <c r="A243" s="247"/>
      <c r="B243" s="216" t="s">
        <v>1078</v>
      </c>
      <c r="C243" s="613">
        <f t="shared" si="44"/>
        <v>312</v>
      </c>
      <c r="D243" s="286"/>
      <c r="E243" s="286"/>
      <c r="F243" s="286">
        <f>F244</f>
        <v>152</v>
      </c>
      <c r="G243" s="286">
        <f t="shared" ref="G243:H243" si="50">G244</f>
        <v>0</v>
      </c>
      <c r="H243" s="286">
        <f t="shared" si="50"/>
        <v>160</v>
      </c>
      <c r="I243" s="287">
        <f t="shared" si="40"/>
        <v>170</v>
      </c>
      <c r="J243" s="286"/>
      <c r="K243" s="286"/>
      <c r="L243" s="286">
        <f>L244</f>
        <v>80</v>
      </c>
      <c r="M243" s="286"/>
      <c r="N243" s="286">
        <f>N244</f>
        <v>90</v>
      </c>
      <c r="O243" s="287">
        <f t="shared" si="41"/>
        <v>170</v>
      </c>
      <c r="P243" s="286"/>
      <c r="Q243" s="286"/>
      <c r="R243" s="286">
        <f>R244</f>
        <v>80</v>
      </c>
      <c r="S243" s="286"/>
      <c r="T243" s="286">
        <f>T244</f>
        <v>90</v>
      </c>
    </row>
    <row r="244" spans="1:20" s="11" customFormat="1" ht="67.5" customHeight="1" x14ac:dyDescent="0.25">
      <c r="A244" s="247"/>
      <c r="B244" s="217" t="s">
        <v>634</v>
      </c>
      <c r="C244" s="613">
        <f t="shared" si="44"/>
        <v>312</v>
      </c>
      <c r="D244" s="286"/>
      <c r="E244" s="286"/>
      <c r="F244" s="286">
        <v>152</v>
      </c>
      <c r="G244" s="286"/>
      <c r="H244" s="286">
        <v>160</v>
      </c>
      <c r="I244" s="287">
        <f t="shared" si="40"/>
        <v>170</v>
      </c>
      <c r="J244" s="286"/>
      <c r="K244" s="286"/>
      <c r="L244" s="286">
        <v>80</v>
      </c>
      <c r="M244" s="286"/>
      <c r="N244" s="286">
        <v>90</v>
      </c>
      <c r="O244" s="287">
        <f t="shared" si="41"/>
        <v>170</v>
      </c>
      <c r="P244" s="286"/>
      <c r="Q244" s="286"/>
      <c r="R244" s="286">
        <v>80</v>
      </c>
      <c r="S244" s="286"/>
      <c r="T244" s="286">
        <v>90</v>
      </c>
    </row>
    <row r="245" spans="1:20" s="11" customFormat="1" ht="35.25" customHeight="1" x14ac:dyDescent="0.25">
      <c r="A245" s="247"/>
      <c r="B245" s="216" t="s">
        <v>1341</v>
      </c>
      <c r="C245" s="613">
        <f t="shared" si="44"/>
        <v>39150</v>
      </c>
      <c r="D245" s="286">
        <f>D246</f>
        <v>12500</v>
      </c>
      <c r="E245" s="286">
        <f t="shared" ref="E245:H245" si="51">E246</f>
        <v>16200</v>
      </c>
      <c r="F245" s="286">
        <f t="shared" si="51"/>
        <v>450</v>
      </c>
      <c r="G245" s="286">
        <f t="shared" si="51"/>
        <v>0</v>
      </c>
      <c r="H245" s="286">
        <f t="shared" si="51"/>
        <v>10000</v>
      </c>
      <c r="I245" s="287">
        <f t="shared" si="40"/>
        <v>0</v>
      </c>
      <c r="J245" s="286"/>
      <c r="K245" s="286"/>
      <c r="L245" s="286"/>
      <c r="M245" s="286"/>
      <c r="N245" s="286"/>
      <c r="O245" s="287">
        <f t="shared" si="41"/>
        <v>0</v>
      </c>
      <c r="P245" s="286"/>
      <c r="Q245" s="286"/>
      <c r="R245" s="286"/>
      <c r="S245" s="286"/>
      <c r="T245" s="286"/>
    </row>
    <row r="246" spans="1:20" s="11" customFormat="1" ht="54" customHeight="1" x14ac:dyDescent="0.25">
      <c r="A246" s="247"/>
      <c r="B246" s="217" t="s">
        <v>1342</v>
      </c>
      <c r="C246" s="613">
        <f t="shared" si="44"/>
        <v>39150</v>
      </c>
      <c r="D246" s="286">
        <v>12500</v>
      </c>
      <c r="E246" s="286">
        <v>16200</v>
      </c>
      <c r="F246" s="286">
        <v>450</v>
      </c>
      <c r="G246" s="286"/>
      <c r="H246" s="286">
        <v>10000</v>
      </c>
      <c r="I246" s="287">
        <f t="shared" si="40"/>
        <v>0</v>
      </c>
      <c r="J246" s="286"/>
      <c r="K246" s="286"/>
      <c r="L246" s="286"/>
      <c r="M246" s="286"/>
      <c r="N246" s="286"/>
      <c r="O246" s="287">
        <f t="shared" si="41"/>
        <v>0</v>
      </c>
      <c r="P246" s="286"/>
      <c r="Q246" s="286"/>
      <c r="R246" s="286"/>
      <c r="S246" s="286"/>
      <c r="T246" s="286"/>
    </row>
    <row r="247" spans="1:20" s="11" customFormat="1" x14ac:dyDescent="0.25">
      <c r="A247" s="247"/>
      <c r="B247" s="216" t="s">
        <v>1343</v>
      </c>
      <c r="C247" s="613">
        <f t="shared" si="44"/>
        <v>2500</v>
      </c>
      <c r="D247" s="286"/>
      <c r="E247" s="286"/>
      <c r="F247" s="286">
        <f t="shared" ref="F247:G247" si="52">F248</f>
        <v>1000</v>
      </c>
      <c r="G247" s="286">
        <f t="shared" si="52"/>
        <v>500</v>
      </c>
      <c r="H247" s="286">
        <f>H248</f>
        <v>1000</v>
      </c>
      <c r="I247" s="287">
        <f t="shared" si="40"/>
        <v>0</v>
      </c>
      <c r="J247" s="286"/>
      <c r="K247" s="286"/>
      <c r="L247" s="286"/>
      <c r="M247" s="286"/>
      <c r="N247" s="286"/>
      <c r="O247" s="287">
        <f t="shared" si="41"/>
        <v>0</v>
      </c>
      <c r="P247" s="286"/>
      <c r="Q247" s="286"/>
      <c r="R247" s="286"/>
      <c r="S247" s="286"/>
      <c r="T247" s="286"/>
    </row>
    <row r="248" spans="1:20" s="11" customFormat="1" ht="47.25" x14ac:dyDescent="0.25">
      <c r="A248" s="247"/>
      <c r="B248" s="217" t="s">
        <v>1344</v>
      </c>
      <c r="C248" s="613">
        <f t="shared" si="44"/>
        <v>2500</v>
      </c>
      <c r="D248" s="286"/>
      <c r="E248" s="286"/>
      <c r="F248" s="286">
        <v>1000</v>
      </c>
      <c r="G248" s="286">
        <v>500</v>
      </c>
      <c r="H248" s="286">
        <v>1000</v>
      </c>
      <c r="I248" s="287">
        <f t="shared" si="40"/>
        <v>0</v>
      </c>
      <c r="J248" s="286"/>
      <c r="K248" s="286"/>
      <c r="L248" s="286"/>
      <c r="M248" s="286"/>
      <c r="N248" s="286"/>
      <c r="O248" s="287">
        <f t="shared" si="41"/>
        <v>0</v>
      </c>
      <c r="P248" s="286"/>
      <c r="Q248" s="286"/>
      <c r="R248" s="286"/>
      <c r="S248" s="286"/>
      <c r="T248" s="286"/>
    </row>
    <row r="249" spans="1:20" s="262" customFormat="1" ht="31.5" x14ac:dyDescent="0.25">
      <c r="A249" s="261"/>
      <c r="B249" s="219" t="s">
        <v>650</v>
      </c>
      <c r="C249" s="613">
        <f t="shared" ref="C249:C271" si="53">SUM(D249:H249)</f>
        <v>3305</v>
      </c>
      <c r="D249" s="288">
        <f>D250+D253+D255</f>
        <v>50</v>
      </c>
      <c r="E249" s="288">
        <f>E250+E253+E255</f>
        <v>2855</v>
      </c>
      <c r="F249" s="288">
        <f t="shared" ref="F249:H249" si="54">F250+F253+F255</f>
        <v>400</v>
      </c>
      <c r="G249" s="288">
        <f t="shared" si="54"/>
        <v>0</v>
      </c>
      <c r="H249" s="288">
        <f t="shared" si="54"/>
        <v>0</v>
      </c>
      <c r="I249" s="287">
        <f t="shared" si="40"/>
        <v>793.01099999999997</v>
      </c>
      <c r="J249" s="288">
        <f>J250+J253+J255</f>
        <v>0</v>
      </c>
      <c r="K249" s="288">
        <f>K250+K253+K255</f>
        <v>0</v>
      </c>
      <c r="L249" s="288">
        <f>L250+L253+L255</f>
        <v>793.01099999999997</v>
      </c>
      <c r="M249" s="288">
        <f>M250+M253+M255</f>
        <v>0</v>
      </c>
      <c r="N249" s="288">
        <f>N250+N253+N255</f>
        <v>0</v>
      </c>
      <c r="O249" s="287">
        <f t="shared" si="41"/>
        <v>710</v>
      </c>
      <c r="P249" s="288">
        <f>P250+P253+P255</f>
        <v>0</v>
      </c>
      <c r="Q249" s="288">
        <f>Q250+Q253+Q255</f>
        <v>0</v>
      </c>
      <c r="R249" s="288">
        <f>R250+R253+R255</f>
        <v>710</v>
      </c>
      <c r="S249" s="288">
        <f>S250+S253+S255</f>
        <v>0</v>
      </c>
      <c r="T249" s="288">
        <f>T250+T253+T255</f>
        <v>0</v>
      </c>
    </row>
    <row r="250" spans="1:20" s="11" customFormat="1" ht="31.5" x14ac:dyDescent="0.25">
      <c r="A250" s="247"/>
      <c r="B250" s="216" t="s">
        <v>651</v>
      </c>
      <c r="C250" s="613">
        <f t="shared" si="53"/>
        <v>1105</v>
      </c>
      <c r="D250" s="286">
        <f>D251+D252</f>
        <v>50</v>
      </c>
      <c r="E250" s="286">
        <f>E251+E252</f>
        <v>1055</v>
      </c>
      <c r="F250" s="286">
        <f>F251+F252</f>
        <v>0</v>
      </c>
      <c r="G250" s="286">
        <f>G251+G252</f>
        <v>0</v>
      </c>
      <c r="H250" s="286">
        <f>H251+H252</f>
        <v>0</v>
      </c>
      <c r="I250" s="287">
        <f t="shared" si="40"/>
        <v>0</v>
      </c>
      <c r="J250" s="286">
        <f>J251+J252</f>
        <v>0</v>
      </c>
      <c r="K250" s="286">
        <f>K251+K252</f>
        <v>0</v>
      </c>
      <c r="L250" s="286">
        <f>L251+L252</f>
        <v>0</v>
      </c>
      <c r="M250" s="286">
        <f>M251+M252</f>
        <v>0</v>
      </c>
      <c r="N250" s="286">
        <f>N251+N252</f>
        <v>0</v>
      </c>
      <c r="O250" s="287">
        <f t="shared" si="41"/>
        <v>0</v>
      </c>
      <c r="P250" s="286">
        <f>P251+P252</f>
        <v>0</v>
      </c>
      <c r="Q250" s="286">
        <f>Q251+Q252</f>
        <v>0</v>
      </c>
      <c r="R250" s="286">
        <f>R251+R252</f>
        <v>0</v>
      </c>
      <c r="S250" s="286">
        <f>S251+S252</f>
        <v>0</v>
      </c>
      <c r="T250" s="286">
        <f>T251+T252</f>
        <v>0</v>
      </c>
    </row>
    <row r="251" spans="1:20" s="11" customFormat="1" ht="31.5" x14ac:dyDescent="0.25">
      <c r="A251" s="247"/>
      <c r="B251" s="217" t="s">
        <v>652</v>
      </c>
      <c r="C251" s="613">
        <f t="shared" si="53"/>
        <v>1000</v>
      </c>
      <c r="D251" s="286"/>
      <c r="E251" s="286">
        <v>1000</v>
      </c>
      <c r="F251" s="286"/>
      <c r="G251" s="286"/>
      <c r="H251" s="286"/>
      <c r="I251" s="287">
        <f t="shared" si="40"/>
        <v>0</v>
      </c>
      <c r="J251" s="286"/>
      <c r="K251" s="286"/>
      <c r="L251" s="286"/>
      <c r="M251" s="286"/>
      <c r="N251" s="286"/>
      <c r="O251" s="287">
        <f t="shared" si="41"/>
        <v>0</v>
      </c>
      <c r="P251" s="286"/>
      <c r="Q251" s="286"/>
      <c r="R251" s="286">
        <v>0</v>
      </c>
      <c r="S251" s="286"/>
      <c r="T251" s="286"/>
    </row>
    <row r="252" spans="1:20" s="11" customFormat="1" ht="31.5" x14ac:dyDescent="0.25">
      <c r="A252" s="247"/>
      <c r="B252" s="217" t="s">
        <v>653</v>
      </c>
      <c r="C252" s="613">
        <f t="shared" si="53"/>
        <v>105</v>
      </c>
      <c r="D252" s="286">
        <v>50</v>
      </c>
      <c r="E252" s="286">
        <v>55</v>
      </c>
      <c r="F252" s="286"/>
      <c r="G252" s="286"/>
      <c r="H252" s="286"/>
      <c r="I252" s="287">
        <f t="shared" si="40"/>
        <v>0</v>
      </c>
      <c r="J252" s="286"/>
      <c r="K252" s="286"/>
      <c r="L252" s="286"/>
      <c r="M252" s="286"/>
      <c r="N252" s="286">
        <v>0</v>
      </c>
      <c r="O252" s="287">
        <f t="shared" si="41"/>
        <v>0</v>
      </c>
      <c r="P252" s="286"/>
      <c r="Q252" s="286"/>
      <c r="R252" s="286"/>
      <c r="S252" s="286"/>
      <c r="T252" s="286">
        <v>0</v>
      </c>
    </row>
    <row r="253" spans="1:20" s="11" customFormat="1" ht="31.5" x14ac:dyDescent="0.25">
      <c r="A253" s="247"/>
      <c r="B253" s="216" t="s">
        <v>654</v>
      </c>
      <c r="C253" s="613">
        <f t="shared" si="53"/>
        <v>1000</v>
      </c>
      <c r="D253" s="286">
        <f>D254</f>
        <v>0</v>
      </c>
      <c r="E253" s="286">
        <f>E254</f>
        <v>1000</v>
      </c>
      <c r="F253" s="286">
        <f>F254</f>
        <v>0</v>
      </c>
      <c r="G253" s="286">
        <f>G254</f>
        <v>0</v>
      </c>
      <c r="H253" s="286">
        <f>H254</f>
        <v>0</v>
      </c>
      <c r="I253" s="287">
        <f t="shared" si="40"/>
        <v>500</v>
      </c>
      <c r="J253" s="286">
        <f>J254</f>
        <v>0</v>
      </c>
      <c r="K253" s="286">
        <f>K254</f>
        <v>0</v>
      </c>
      <c r="L253" s="286">
        <f>L254</f>
        <v>500</v>
      </c>
      <c r="M253" s="286">
        <f>M254</f>
        <v>0</v>
      </c>
      <c r="N253" s="286">
        <f>N254</f>
        <v>0</v>
      </c>
      <c r="O253" s="287">
        <f t="shared" si="41"/>
        <v>500</v>
      </c>
      <c r="P253" s="286">
        <f>P254</f>
        <v>0</v>
      </c>
      <c r="Q253" s="286">
        <f>Q254</f>
        <v>0</v>
      </c>
      <c r="R253" s="286">
        <v>500</v>
      </c>
      <c r="S253" s="286">
        <f>S254</f>
        <v>0</v>
      </c>
      <c r="T253" s="286">
        <f>T254</f>
        <v>0</v>
      </c>
    </row>
    <row r="254" spans="1:20" s="11" customFormat="1" ht="63" x14ac:dyDescent="0.25">
      <c r="A254" s="247"/>
      <c r="B254" s="217" t="s">
        <v>655</v>
      </c>
      <c r="C254" s="613">
        <f t="shared" si="53"/>
        <v>1000</v>
      </c>
      <c r="D254" s="286"/>
      <c r="E254" s="286">
        <v>1000</v>
      </c>
      <c r="F254" s="286"/>
      <c r="G254" s="286"/>
      <c r="H254" s="286"/>
      <c r="I254" s="287">
        <f t="shared" si="40"/>
        <v>500</v>
      </c>
      <c r="J254" s="286"/>
      <c r="K254" s="286"/>
      <c r="L254" s="286">
        <v>500</v>
      </c>
      <c r="M254" s="286"/>
      <c r="N254" s="286"/>
      <c r="O254" s="287">
        <f t="shared" si="41"/>
        <v>0</v>
      </c>
      <c r="P254" s="286"/>
      <c r="Q254" s="286"/>
      <c r="R254" s="286">
        <v>0</v>
      </c>
      <c r="S254" s="286"/>
      <c r="T254" s="286"/>
    </row>
    <row r="255" spans="1:20" s="11" customFormat="1" ht="31.5" x14ac:dyDescent="0.25">
      <c r="A255" s="247"/>
      <c r="B255" s="216" t="s">
        <v>656</v>
      </c>
      <c r="C255" s="613">
        <f t="shared" si="53"/>
        <v>1200</v>
      </c>
      <c r="D255" s="286">
        <f>D256</f>
        <v>0</v>
      </c>
      <c r="E255" s="286">
        <f>E256</f>
        <v>800</v>
      </c>
      <c r="F255" s="286">
        <f>F256</f>
        <v>400</v>
      </c>
      <c r="G255" s="286">
        <f>G256</f>
        <v>0</v>
      </c>
      <c r="H255" s="286">
        <f>H256</f>
        <v>0</v>
      </c>
      <c r="I255" s="287">
        <f t="shared" si="40"/>
        <v>293.01100000000002</v>
      </c>
      <c r="J255" s="286">
        <f>J256</f>
        <v>0</v>
      </c>
      <c r="K255" s="286">
        <f>K256</f>
        <v>0</v>
      </c>
      <c r="L255" s="286">
        <f>L256</f>
        <v>293.01100000000002</v>
      </c>
      <c r="M255" s="286">
        <f>M256</f>
        <v>0</v>
      </c>
      <c r="N255" s="286">
        <f>N256</f>
        <v>0</v>
      </c>
      <c r="O255" s="287">
        <f t="shared" si="41"/>
        <v>210</v>
      </c>
      <c r="P255" s="286">
        <f>P256</f>
        <v>0</v>
      </c>
      <c r="Q255" s="286">
        <f>Q256</f>
        <v>0</v>
      </c>
      <c r="R255" s="286">
        <f>R256</f>
        <v>210</v>
      </c>
      <c r="S255" s="286">
        <f>S256</f>
        <v>0</v>
      </c>
      <c r="T255" s="286">
        <f>T256</f>
        <v>0</v>
      </c>
    </row>
    <row r="256" spans="1:20" s="11" customFormat="1" ht="63" x14ac:dyDescent="0.25">
      <c r="A256" s="247"/>
      <c r="B256" s="217" t="s">
        <v>657</v>
      </c>
      <c r="C256" s="613">
        <f t="shared" si="53"/>
        <v>1200</v>
      </c>
      <c r="D256" s="286"/>
      <c r="E256" s="286">
        <v>800</v>
      </c>
      <c r="F256" s="286">
        <v>400</v>
      </c>
      <c r="G256" s="286"/>
      <c r="H256" s="286"/>
      <c r="I256" s="287">
        <f t="shared" si="40"/>
        <v>293.01100000000002</v>
      </c>
      <c r="J256" s="286"/>
      <c r="K256" s="286"/>
      <c r="L256" s="286">
        <v>293.01100000000002</v>
      </c>
      <c r="M256" s="286"/>
      <c r="N256" s="286"/>
      <c r="O256" s="287">
        <f t="shared" si="41"/>
        <v>210</v>
      </c>
      <c r="P256" s="286"/>
      <c r="Q256" s="286">
        <v>0</v>
      </c>
      <c r="R256" s="286">
        <v>210</v>
      </c>
      <c r="S256" s="286"/>
      <c r="T256" s="286"/>
    </row>
    <row r="257" spans="1:20" s="262" customFormat="1" ht="31.5" x14ac:dyDescent="0.25">
      <c r="A257" s="261"/>
      <c r="B257" s="219" t="s">
        <v>1345</v>
      </c>
      <c r="C257" s="613">
        <f t="shared" si="53"/>
        <v>90437.3</v>
      </c>
      <c r="D257" s="288">
        <f>D258+D260+D261</f>
        <v>36077.300000000003</v>
      </c>
      <c r="E257" s="288">
        <f>E258+E260+E261</f>
        <v>35638</v>
      </c>
      <c r="F257" s="288">
        <f t="shared" ref="F257:H257" si="55">F258+F260+F261</f>
        <v>900</v>
      </c>
      <c r="G257" s="288">
        <f t="shared" si="55"/>
        <v>1800</v>
      </c>
      <c r="H257" s="288">
        <f t="shared" si="55"/>
        <v>16022</v>
      </c>
      <c r="I257" s="287">
        <f t="shared" si="40"/>
        <v>0</v>
      </c>
      <c r="J257" s="288"/>
      <c r="K257" s="288"/>
      <c r="L257" s="288"/>
      <c r="M257" s="288"/>
      <c r="N257" s="288"/>
      <c r="O257" s="287">
        <f t="shared" si="41"/>
        <v>0</v>
      </c>
      <c r="P257" s="288"/>
      <c r="Q257" s="288"/>
      <c r="R257" s="288"/>
      <c r="S257" s="288"/>
      <c r="T257" s="288"/>
    </row>
    <row r="258" spans="1:20" s="11" customFormat="1" ht="63.75" customHeight="1" x14ac:dyDescent="0.25">
      <c r="A258" s="247"/>
      <c r="B258" s="216" t="s">
        <v>1346</v>
      </c>
      <c r="C258" s="613">
        <f t="shared" si="53"/>
        <v>38634</v>
      </c>
      <c r="D258" s="286">
        <f>D259</f>
        <v>14816</v>
      </c>
      <c r="E258" s="286">
        <f t="shared" ref="E258:H258" si="56">E259</f>
        <v>10296</v>
      </c>
      <c r="F258" s="286">
        <f t="shared" si="56"/>
        <v>0</v>
      </c>
      <c r="G258" s="286">
        <f t="shared" si="56"/>
        <v>0</v>
      </c>
      <c r="H258" s="286">
        <f t="shared" si="56"/>
        <v>13522</v>
      </c>
      <c r="I258" s="287">
        <f t="shared" si="40"/>
        <v>0</v>
      </c>
      <c r="J258" s="286"/>
      <c r="K258" s="286"/>
      <c r="L258" s="286"/>
      <c r="M258" s="286"/>
      <c r="N258" s="286"/>
      <c r="O258" s="287">
        <f t="shared" si="41"/>
        <v>0</v>
      </c>
      <c r="P258" s="286"/>
      <c r="Q258" s="286"/>
      <c r="R258" s="286"/>
      <c r="S258" s="286"/>
      <c r="T258" s="286"/>
    </row>
    <row r="259" spans="1:20" s="11" customFormat="1" ht="104.25" customHeight="1" x14ac:dyDescent="0.25">
      <c r="A259" s="247"/>
      <c r="B259" s="217" t="s">
        <v>1347</v>
      </c>
      <c r="C259" s="613">
        <f t="shared" si="53"/>
        <v>38634</v>
      </c>
      <c r="D259" s="286">
        <v>14816</v>
      </c>
      <c r="E259" s="286">
        <v>10296</v>
      </c>
      <c r="F259" s="286"/>
      <c r="G259" s="286"/>
      <c r="H259" s="286">
        <v>13522</v>
      </c>
      <c r="I259" s="287">
        <f t="shared" si="40"/>
        <v>0</v>
      </c>
      <c r="J259" s="286"/>
      <c r="K259" s="286"/>
      <c r="L259" s="286"/>
      <c r="M259" s="286"/>
      <c r="N259" s="286"/>
      <c r="O259" s="287">
        <f t="shared" si="41"/>
        <v>0</v>
      </c>
      <c r="P259" s="286"/>
      <c r="Q259" s="286"/>
      <c r="R259" s="286"/>
      <c r="S259" s="286"/>
      <c r="T259" s="286"/>
    </row>
    <row r="260" spans="1:20" s="11" customFormat="1" ht="33" customHeight="1" x14ac:dyDescent="0.25">
      <c r="A260" s="247"/>
      <c r="B260" s="216" t="s">
        <v>1348</v>
      </c>
      <c r="C260" s="613">
        <f t="shared" si="53"/>
        <v>44703.3</v>
      </c>
      <c r="D260" s="286">
        <v>19861.3</v>
      </c>
      <c r="E260" s="286">
        <v>23642</v>
      </c>
      <c r="F260" s="286">
        <v>400</v>
      </c>
      <c r="G260" s="286">
        <v>800</v>
      </c>
      <c r="H260" s="286"/>
      <c r="I260" s="287">
        <f t="shared" si="40"/>
        <v>0</v>
      </c>
      <c r="J260" s="286"/>
      <c r="K260" s="286"/>
      <c r="L260" s="286"/>
      <c r="M260" s="286"/>
      <c r="N260" s="286"/>
      <c r="O260" s="287">
        <f t="shared" si="41"/>
        <v>0</v>
      </c>
      <c r="P260" s="286"/>
      <c r="Q260" s="286"/>
      <c r="R260" s="286"/>
      <c r="S260" s="286"/>
      <c r="T260" s="286"/>
    </row>
    <row r="261" spans="1:20" s="11" customFormat="1" ht="31.5" x14ac:dyDescent="0.25">
      <c r="A261" s="247"/>
      <c r="B261" s="216" t="s">
        <v>1349</v>
      </c>
      <c r="C261" s="613">
        <f t="shared" si="53"/>
        <v>7100</v>
      </c>
      <c r="D261" s="286">
        <v>1400</v>
      </c>
      <c r="E261" s="286">
        <v>1700</v>
      </c>
      <c r="F261" s="286">
        <v>500</v>
      </c>
      <c r="G261" s="286">
        <v>1000</v>
      </c>
      <c r="H261" s="286">
        <v>2500</v>
      </c>
      <c r="I261" s="287">
        <f t="shared" si="40"/>
        <v>0</v>
      </c>
      <c r="J261" s="286"/>
      <c r="K261" s="286"/>
      <c r="L261" s="286"/>
      <c r="M261" s="286"/>
      <c r="N261" s="286"/>
      <c r="O261" s="287">
        <f t="shared" si="41"/>
        <v>0</v>
      </c>
      <c r="P261" s="286"/>
      <c r="Q261" s="286"/>
      <c r="R261" s="286"/>
      <c r="S261" s="286"/>
      <c r="T261" s="286"/>
    </row>
    <row r="262" spans="1:20" s="262" customFormat="1" ht="47.25" x14ac:dyDescent="0.25">
      <c r="A262" s="261"/>
      <c r="B262" s="219" t="s">
        <v>1350</v>
      </c>
      <c r="C262" s="613">
        <f t="shared" si="53"/>
        <v>2000</v>
      </c>
      <c r="D262" s="288">
        <f>D263</f>
        <v>900</v>
      </c>
      <c r="E262" s="288">
        <f>E263</f>
        <v>1100</v>
      </c>
      <c r="F262" s="288"/>
      <c r="G262" s="288"/>
      <c r="H262" s="288"/>
      <c r="I262" s="287">
        <f t="shared" si="40"/>
        <v>0</v>
      </c>
      <c r="J262" s="288"/>
      <c r="K262" s="288"/>
      <c r="L262" s="288"/>
      <c r="M262" s="288"/>
      <c r="N262" s="288"/>
      <c r="O262" s="287">
        <f t="shared" si="41"/>
        <v>0</v>
      </c>
      <c r="P262" s="288"/>
      <c r="Q262" s="288"/>
      <c r="R262" s="288"/>
      <c r="S262" s="288"/>
      <c r="T262" s="288"/>
    </row>
    <row r="263" spans="1:20" s="11" customFormat="1" ht="63" x14ac:dyDescent="0.25">
      <c r="A263" s="247"/>
      <c r="B263" s="217" t="s">
        <v>1351</v>
      </c>
      <c r="C263" s="613">
        <f t="shared" si="53"/>
        <v>2000</v>
      </c>
      <c r="D263" s="286">
        <v>900</v>
      </c>
      <c r="E263" s="286">
        <v>1100</v>
      </c>
      <c r="F263" s="286"/>
      <c r="G263" s="286"/>
      <c r="H263" s="286"/>
      <c r="I263" s="287">
        <f t="shared" si="40"/>
        <v>0</v>
      </c>
      <c r="J263" s="286"/>
      <c r="K263" s="286"/>
      <c r="L263" s="286"/>
      <c r="M263" s="286"/>
      <c r="N263" s="286"/>
      <c r="O263" s="287">
        <f t="shared" si="41"/>
        <v>0</v>
      </c>
      <c r="P263" s="286"/>
      <c r="Q263" s="286"/>
      <c r="R263" s="286"/>
      <c r="S263" s="286"/>
      <c r="T263" s="286"/>
    </row>
    <row r="264" spans="1:20" s="262" customFormat="1" x14ac:dyDescent="0.25">
      <c r="A264" s="261"/>
      <c r="B264" s="219" t="s">
        <v>1352</v>
      </c>
      <c r="C264" s="613">
        <f t="shared" si="53"/>
        <v>600</v>
      </c>
      <c r="D264" s="288">
        <f>D265</f>
        <v>0</v>
      </c>
      <c r="E264" s="288">
        <f t="shared" ref="E264:H264" si="57">E265</f>
        <v>200</v>
      </c>
      <c r="F264" s="288">
        <f t="shared" si="57"/>
        <v>0</v>
      </c>
      <c r="G264" s="288">
        <f t="shared" si="57"/>
        <v>0</v>
      </c>
      <c r="H264" s="288">
        <f t="shared" si="57"/>
        <v>400</v>
      </c>
      <c r="I264" s="287">
        <f t="shared" si="40"/>
        <v>0</v>
      </c>
      <c r="J264" s="288"/>
      <c r="K264" s="288"/>
      <c r="L264" s="288"/>
      <c r="M264" s="288"/>
      <c r="N264" s="288"/>
      <c r="O264" s="287">
        <f t="shared" si="41"/>
        <v>0</v>
      </c>
      <c r="P264" s="288"/>
      <c r="Q264" s="288"/>
      <c r="R264" s="288"/>
      <c r="S264" s="288"/>
      <c r="T264" s="288"/>
    </row>
    <row r="265" spans="1:20" s="11" customFormat="1" ht="63" x14ac:dyDescent="0.25">
      <c r="A265" s="247"/>
      <c r="B265" s="217" t="s">
        <v>1353</v>
      </c>
      <c r="C265" s="613">
        <f t="shared" si="53"/>
        <v>600</v>
      </c>
      <c r="D265" s="286"/>
      <c r="E265" s="286">
        <v>200</v>
      </c>
      <c r="F265" s="286"/>
      <c r="G265" s="286"/>
      <c r="H265" s="286">
        <v>400</v>
      </c>
      <c r="I265" s="287">
        <f t="shared" si="40"/>
        <v>0</v>
      </c>
      <c r="J265" s="286"/>
      <c r="K265" s="286"/>
      <c r="L265" s="286"/>
      <c r="M265" s="286"/>
      <c r="N265" s="286"/>
      <c r="O265" s="287">
        <f t="shared" si="41"/>
        <v>0</v>
      </c>
      <c r="P265" s="286"/>
      <c r="Q265" s="286"/>
      <c r="R265" s="286"/>
      <c r="S265" s="286"/>
      <c r="T265" s="286"/>
    </row>
    <row r="266" spans="1:20" s="262" customFormat="1" ht="31.5" x14ac:dyDescent="0.25">
      <c r="A266" s="261"/>
      <c r="B266" s="219" t="s">
        <v>1354</v>
      </c>
      <c r="C266" s="613">
        <f t="shared" si="53"/>
        <v>44707</v>
      </c>
      <c r="D266" s="288">
        <f>D267</f>
        <v>4425</v>
      </c>
      <c r="E266" s="288">
        <f>E267</f>
        <v>31800</v>
      </c>
      <c r="F266" s="288">
        <f t="shared" ref="F266:H266" si="58">F267</f>
        <v>0</v>
      </c>
      <c r="G266" s="288">
        <f t="shared" si="58"/>
        <v>0</v>
      </c>
      <c r="H266" s="288">
        <f t="shared" si="58"/>
        <v>8482</v>
      </c>
      <c r="I266" s="287">
        <f t="shared" si="40"/>
        <v>0</v>
      </c>
      <c r="J266" s="288"/>
      <c r="K266" s="288"/>
      <c r="L266" s="288"/>
      <c r="M266" s="288"/>
      <c r="N266" s="288"/>
      <c r="O266" s="287">
        <f t="shared" si="41"/>
        <v>0</v>
      </c>
      <c r="P266" s="288"/>
      <c r="Q266" s="288"/>
      <c r="R266" s="288"/>
      <c r="S266" s="288"/>
      <c r="T266" s="288"/>
    </row>
    <row r="267" spans="1:20" s="11" customFormat="1" x14ac:dyDescent="0.25">
      <c r="A267" s="247"/>
      <c r="B267" s="216" t="s">
        <v>1355</v>
      </c>
      <c r="C267" s="613">
        <f t="shared" si="53"/>
        <v>44707</v>
      </c>
      <c r="D267" s="286">
        <f>D268+D269</f>
        <v>4425</v>
      </c>
      <c r="E267" s="286">
        <f t="shared" ref="E267:H267" si="59">E268+E269</f>
        <v>31800</v>
      </c>
      <c r="F267" s="286">
        <f t="shared" si="59"/>
        <v>0</v>
      </c>
      <c r="G267" s="286">
        <f t="shared" si="59"/>
        <v>0</v>
      </c>
      <c r="H267" s="286">
        <f t="shared" si="59"/>
        <v>8482</v>
      </c>
      <c r="I267" s="287">
        <f t="shared" si="40"/>
        <v>0</v>
      </c>
      <c r="J267" s="286"/>
      <c r="K267" s="286"/>
      <c r="L267" s="286"/>
      <c r="M267" s="286"/>
      <c r="N267" s="286"/>
      <c r="O267" s="287">
        <f t="shared" si="41"/>
        <v>0</v>
      </c>
      <c r="P267" s="286"/>
      <c r="Q267" s="286"/>
      <c r="R267" s="286"/>
      <c r="S267" s="286"/>
      <c r="T267" s="286"/>
    </row>
    <row r="268" spans="1:20" s="11" customFormat="1" ht="31.5" x14ac:dyDescent="0.25">
      <c r="A268" s="247"/>
      <c r="B268" s="217" t="s">
        <v>1356</v>
      </c>
      <c r="C268" s="613">
        <f t="shared" si="53"/>
        <v>22027</v>
      </c>
      <c r="D268" s="286">
        <v>2025</v>
      </c>
      <c r="E268" s="286">
        <v>18000</v>
      </c>
      <c r="F268" s="286"/>
      <c r="G268" s="286"/>
      <c r="H268" s="286">
        <v>2002</v>
      </c>
      <c r="I268" s="287">
        <f t="shared" si="40"/>
        <v>0</v>
      </c>
      <c r="J268" s="286"/>
      <c r="K268" s="286"/>
      <c r="L268" s="286"/>
      <c r="M268" s="286"/>
      <c r="N268" s="286"/>
      <c r="O268" s="287">
        <f t="shared" si="41"/>
        <v>0</v>
      </c>
      <c r="P268" s="286"/>
      <c r="Q268" s="286"/>
      <c r="R268" s="286"/>
      <c r="S268" s="286"/>
      <c r="T268" s="286"/>
    </row>
    <row r="269" spans="1:20" s="11" customFormat="1" ht="47.25" x14ac:dyDescent="0.25">
      <c r="A269" s="247"/>
      <c r="B269" s="217" t="s">
        <v>1357</v>
      </c>
      <c r="C269" s="613">
        <f t="shared" si="53"/>
        <v>22680</v>
      </c>
      <c r="D269" s="286">
        <v>2400</v>
      </c>
      <c r="E269" s="286">
        <v>13800</v>
      </c>
      <c r="F269" s="286"/>
      <c r="G269" s="286"/>
      <c r="H269" s="286">
        <v>6480</v>
      </c>
      <c r="I269" s="287">
        <f t="shared" si="40"/>
        <v>0</v>
      </c>
      <c r="J269" s="286"/>
      <c r="K269" s="286"/>
      <c r="L269" s="286"/>
      <c r="M269" s="286"/>
      <c r="N269" s="286"/>
      <c r="O269" s="287">
        <f t="shared" si="41"/>
        <v>0</v>
      </c>
      <c r="P269" s="286"/>
      <c r="Q269" s="286"/>
      <c r="R269" s="286"/>
      <c r="S269" s="286"/>
      <c r="T269" s="286"/>
    </row>
    <row r="270" spans="1:20" s="262" customFormat="1" ht="101.25" customHeight="1" x14ac:dyDescent="0.25">
      <c r="A270" s="261"/>
      <c r="B270" s="219" t="s">
        <v>1168</v>
      </c>
      <c r="C270" s="613">
        <f t="shared" si="53"/>
        <v>0</v>
      </c>
      <c r="D270" s="288"/>
      <c r="E270" s="288">
        <f>E271</f>
        <v>0</v>
      </c>
      <c r="F270" s="288"/>
      <c r="G270" s="288"/>
      <c r="H270" s="288"/>
      <c r="I270" s="287">
        <f t="shared" si="40"/>
        <v>11396.11</v>
      </c>
      <c r="J270" s="288"/>
      <c r="K270" s="288">
        <f>K271</f>
        <v>3396.11</v>
      </c>
      <c r="L270" s="288">
        <f>L271</f>
        <v>8000</v>
      </c>
      <c r="M270" s="288"/>
      <c r="N270" s="288"/>
      <c r="O270" s="287">
        <f t="shared" si="41"/>
        <v>5124.01</v>
      </c>
      <c r="P270" s="288"/>
      <c r="Q270" s="288">
        <f>Q271</f>
        <v>3396.11</v>
      </c>
      <c r="R270" s="288">
        <f>R271</f>
        <v>1727.9</v>
      </c>
      <c r="S270" s="288"/>
      <c r="T270" s="288"/>
    </row>
    <row r="271" spans="1:20" s="11" customFormat="1" ht="31.5" x14ac:dyDescent="0.25">
      <c r="A271" s="247"/>
      <c r="B271" s="217" t="s">
        <v>1169</v>
      </c>
      <c r="C271" s="613">
        <f t="shared" si="53"/>
        <v>0</v>
      </c>
      <c r="D271" s="286"/>
      <c r="E271" s="286"/>
      <c r="F271" s="286"/>
      <c r="G271" s="286"/>
      <c r="H271" s="286"/>
      <c r="I271" s="287">
        <f t="shared" si="40"/>
        <v>11396.11</v>
      </c>
      <c r="J271" s="286"/>
      <c r="K271" s="286">
        <v>3396.11</v>
      </c>
      <c r="L271" s="286">
        <v>8000</v>
      </c>
      <c r="M271" s="286"/>
      <c r="N271" s="286"/>
      <c r="O271" s="287">
        <f t="shared" si="41"/>
        <v>5124.01</v>
      </c>
      <c r="P271" s="286"/>
      <c r="Q271" s="286">
        <v>3396.11</v>
      </c>
      <c r="R271" s="286">
        <v>1727.9</v>
      </c>
      <c r="S271" s="286"/>
      <c r="T271" s="286"/>
    </row>
    <row r="272" spans="1:20" s="266" customFormat="1" ht="31.5" x14ac:dyDescent="0.25">
      <c r="A272" s="265"/>
      <c r="B272" s="219" t="s">
        <v>658</v>
      </c>
      <c r="C272" s="614">
        <f t="shared" ref="C272:C287" si="60">SUM(D272:H272)</f>
        <v>10600.4</v>
      </c>
      <c r="D272" s="288">
        <f>D273+D275</f>
        <v>0</v>
      </c>
      <c r="E272" s="288">
        <f>E273+E275+E278+E277+E279+E285</f>
        <v>8280.4</v>
      </c>
      <c r="F272" s="288">
        <f t="shared" ref="F272:H272" si="61">F273+F275+F278+F277+F279+F285</f>
        <v>2320</v>
      </c>
      <c r="G272" s="288">
        <f t="shared" si="61"/>
        <v>0</v>
      </c>
      <c r="H272" s="288">
        <f t="shared" si="61"/>
        <v>0</v>
      </c>
      <c r="I272" s="287">
        <f t="shared" si="40"/>
        <v>12437.535999999998</v>
      </c>
      <c r="J272" s="288">
        <f>J273+J275</f>
        <v>0</v>
      </c>
      <c r="K272" s="288">
        <f>K273+K275+K278+K277</f>
        <v>11260.885999999999</v>
      </c>
      <c r="L272" s="288">
        <f>L273+L275</f>
        <v>1176.6500000000001</v>
      </c>
      <c r="M272" s="288">
        <f>M273+M275</f>
        <v>0</v>
      </c>
      <c r="N272" s="288">
        <f>N273+N275</f>
        <v>0</v>
      </c>
      <c r="O272" s="287">
        <f t="shared" si="41"/>
        <v>12398.88788</v>
      </c>
      <c r="P272" s="288">
        <f>P273+P275</f>
        <v>0</v>
      </c>
      <c r="Q272" s="288">
        <f>Q273+Q275+Q278</f>
        <v>11222.237880000001</v>
      </c>
      <c r="R272" s="288">
        <f>R273+R275</f>
        <v>1176.6500000000001</v>
      </c>
      <c r="S272" s="288">
        <f>S273+S275</f>
        <v>0</v>
      </c>
      <c r="T272" s="288">
        <f>T273+T275</f>
        <v>0</v>
      </c>
    </row>
    <row r="273" spans="1:26" x14ac:dyDescent="0.25">
      <c r="A273" s="407"/>
      <c r="B273" s="221" t="s">
        <v>947</v>
      </c>
      <c r="C273" s="613">
        <f t="shared" si="60"/>
        <v>690</v>
      </c>
      <c r="D273" s="286">
        <f>D274</f>
        <v>0</v>
      </c>
      <c r="E273" s="286">
        <f>E274</f>
        <v>0</v>
      </c>
      <c r="F273" s="286">
        <f>F274</f>
        <v>690</v>
      </c>
      <c r="G273" s="286">
        <f>G274</f>
        <v>0</v>
      </c>
      <c r="H273" s="286">
        <f>H274</f>
        <v>0</v>
      </c>
      <c r="I273" s="287">
        <f t="shared" si="40"/>
        <v>499.8</v>
      </c>
      <c r="J273" s="286">
        <f>J274</f>
        <v>0</v>
      </c>
      <c r="K273" s="286">
        <f>K274</f>
        <v>0</v>
      </c>
      <c r="L273" s="286">
        <f>L274</f>
        <v>499.8</v>
      </c>
      <c r="M273" s="286">
        <f>M274</f>
        <v>0</v>
      </c>
      <c r="N273" s="286">
        <f>N274</f>
        <v>0</v>
      </c>
      <c r="O273" s="287">
        <f t="shared" si="41"/>
        <v>499.8</v>
      </c>
      <c r="P273" s="286">
        <f>P274</f>
        <v>0</v>
      </c>
      <c r="Q273" s="286">
        <f>Q274</f>
        <v>0</v>
      </c>
      <c r="R273" s="286">
        <f>R274</f>
        <v>499.8</v>
      </c>
      <c r="S273" s="286">
        <f>S274</f>
        <v>0</v>
      </c>
      <c r="T273" s="286">
        <f>T274</f>
        <v>0</v>
      </c>
    </row>
    <row r="274" spans="1:26" x14ac:dyDescent="0.25">
      <c r="A274" s="407"/>
      <c r="B274" s="222" t="s">
        <v>946</v>
      </c>
      <c r="C274" s="613">
        <f t="shared" si="60"/>
        <v>690</v>
      </c>
      <c r="D274" s="286"/>
      <c r="E274" s="286"/>
      <c r="F274" s="286">
        <v>690</v>
      </c>
      <c r="G274" s="286"/>
      <c r="H274" s="286"/>
      <c r="I274" s="287">
        <f t="shared" si="40"/>
        <v>499.8</v>
      </c>
      <c r="J274" s="286"/>
      <c r="K274" s="286"/>
      <c r="L274" s="286">
        <v>499.8</v>
      </c>
      <c r="M274" s="286"/>
      <c r="N274" s="286"/>
      <c r="O274" s="287">
        <f t="shared" si="41"/>
        <v>499.8</v>
      </c>
      <c r="P274" s="286"/>
      <c r="Q274" s="286">
        <v>0</v>
      </c>
      <c r="R274" s="286">
        <v>499.8</v>
      </c>
      <c r="S274" s="286"/>
      <c r="T274" s="286"/>
    </row>
    <row r="275" spans="1:26" ht="31.5" x14ac:dyDescent="0.25">
      <c r="A275" s="407"/>
      <c r="B275" s="221" t="s">
        <v>659</v>
      </c>
      <c r="C275" s="613">
        <f t="shared" si="60"/>
        <v>7560.4</v>
      </c>
      <c r="D275" s="286">
        <f>D276</f>
        <v>0</v>
      </c>
      <c r="E275" s="286">
        <f>E276</f>
        <v>6880.4</v>
      </c>
      <c r="F275" s="286">
        <f>F276</f>
        <v>680</v>
      </c>
      <c r="G275" s="286">
        <f>G276</f>
        <v>0</v>
      </c>
      <c r="H275" s="286">
        <f>H276</f>
        <v>0</v>
      </c>
      <c r="I275" s="287">
        <f t="shared" si="40"/>
        <v>8897.2759999999998</v>
      </c>
      <c r="J275" s="286">
        <f>J276</f>
        <v>0</v>
      </c>
      <c r="K275" s="286">
        <f>K276</f>
        <v>8220.4259999999995</v>
      </c>
      <c r="L275" s="286">
        <f>L276</f>
        <v>676.85</v>
      </c>
      <c r="M275" s="286">
        <f>M276</f>
        <v>0</v>
      </c>
      <c r="N275" s="286">
        <f>N276</f>
        <v>0</v>
      </c>
      <c r="O275" s="287">
        <f t="shared" si="41"/>
        <v>11892.087880000001</v>
      </c>
      <c r="P275" s="286">
        <f>P276</f>
        <v>0</v>
      </c>
      <c r="Q275" s="286">
        <f>Q276+Q277</f>
        <v>11215.237880000001</v>
      </c>
      <c r="R275" s="286">
        <f>R276</f>
        <v>676.85</v>
      </c>
      <c r="S275" s="286">
        <f>S276</f>
        <v>0</v>
      </c>
      <c r="T275" s="286">
        <f>T276</f>
        <v>0</v>
      </c>
    </row>
    <row r="276" spans="1:26" ht="31.5" x14ac:dyDescent="0.25">
      <c r="A276" s="407"/>
      <c r="B276" s="222" t="s">
        <v>660</v>
      </c>
      <c r="C276" s="613">
        <f t="shared" si="60"/>
        <v>7560.4</v>
      </c>
      <c r="D276" s="286"/>
      <c r="E276" s="286">
        <v>6880.4</v>
      </c>
      <c r="F276" s="286">
        <v>680</v>
      </c>
      <c r="G276" s="286"/>
      <c r="H276" s="286"/>
      <c r="I276" s="287">
        <f t="shared" si="40"/>
        <v>8897.2759999999998</v>
      </c>
      <c r="J276" s="286"/>
      <c r="K276" s="286">
        <v>8220.4259999999995</v>
      </c>
      <c r="L276" s="286">
        <f>676.85</f>
        <v>676.85</v>
      </c>
      <c r="M276" s="286"/>
      <c r="N276" s="286"/>
      <c r="O276" s="287">
        <f t="shared" si="41"/>
        <v>8897.2759999999998</v>
      </c>
      <c r="P276" s="286"/>
      <c r="Q276" s="286">
        <v>8220.4259999999995</v>
      </c>
      <c r="R276" s="286">
        <v>676.85</v>
      </c>
      <c r="S276" s="286"/>
      <c r="T276" s="286"/>
    </row>
    <row r="277" spans="1:26" s="323" customFormat="1" ht="31.5" x14ac:dyDescent="0.25">
      <c r="A277" s="407"/>
      <c r="B277" s="222" t="s">
        <v>1079</v>
      </c>
      <c r="C277" s="613">
        <f t="shared" si="60"/>
        <v>1400</v>
      </c>
      <c r="D277" s="286"/>
      <c r="E277" s="286">
        <v>1400</v>
      </c>
      <c r="F277" s="286"/>
      <c r="G277" s="286"/>
      <c r="H277" s="286"/>
      <c r="I277" s="287">
        <f t="shared" si="40"/>
        <v>3033.46</v>
      </c>
      <c r="J277" s="286"/>
      <c r="K277" s="286">
        <v>3033.46</v>
      </c>
      <c r="L277" s="286"/>
      <c r="M277" s="286"/>
      <c r="N277" s="286"/>
      <c r="O277" s="287">
        <f t="shared" si="41"/>
        <v>2994.8118800000002</v>
      </c>
      <c r="P277" s="286"/>
      <c r="Q277" s="286">
        <v>2994.8118800000002</v>
      </c>
      <c r="R277" s="286"/>
      <c r="S277" s="286"/>
      <c r="T277" s="286"/>
    </row>
    <row r="278" spans="1:26" x14ac:dyDescent="0.25">
      <c r="A278" s="407"/>
      <c r="B278" s="222" t="s">
        <v>661</v>
      </c>
      <c r="C278" s="613">
        <f t="shared" si="60"/>
        <v>0</v>
      </c>
      <c r="D278" s="286"/>
      <c r="E278" s="286"/>
      <c r="F278" s="286"/>
      <c r="G278" s="286"/>
      <c r="H278" s="286"/>
      <c r="I278" s="287">
        <f t="shared" si="40"/>
        <v>7</v>
      </c>
      <c r="J278" s="286"/>
      <c r="K278" s="286">
        <v>7</v>
      </c>
      <c r="L278" s="286"/>
      <c r="M278" s="286"/>
      <c r="N278" s="286"/>
      <c r="O278" s="287">
        <f t="shared" si="41"/>
        <v>7</v>
      </c>
      <c r="P278" s="286"/>
      <c r="Q278" s="269">
        <v>7</v>
      </c>
      <c r="R278" s="286"/>
      <c r="S278" s="286"/>
      <c r="T278" s="286"/>
    </row>
    <row r="279" spans="1:26" s="406" customFormat="1" x14ac:dyDescent="0.25">
      <c r="A279" s="407"/>
      <c r="B279" s="221" t="s">
        <v>1358</v>
      </c>
      <c r="C279" s="613">
        <f t="shared" si="60"/>
        <v>850</v>
      </c>
      <c r="D279" s="286">
        <f>D280+D281+D282+D283+D284</f>
        <v>0</v>
      </c>
      <c r="E279" s="286">
        <f t="shared" ref="E279:H279" si="62">E280+E281+E282+E283+E284</f>
        <v>0</v>
      </c>
      <c r="F279" s="286">
        <f t="shared" si="62"/>
        <v>850</v>
      </c>
      <c r="G279" s="286">
        <f t="shared" si="62"/>
        <v>0</v>
      </c>
      <c r="H279" s="286">
        <f t="shared" si="62"/>
        <v>0</v>
      </c>
      <c r="I279" s="287">
        <f t="shared" si="40"/>
        <v>0</v>
      </c>
      <c r="J279" s="286"/>
      <c r="K279" s="286"/>
      <c r="L279" s="286"/>
      <c r="M279" s="286"/>
      <c r="N279" s="286"/>
      <c r="O279" s="287">
        <f t="shared" si="41"/>
        <v>0</v>
      </c>
      <c r="P279" s="286"/>
      <c r="Q279" s="269"/>
      <c r="R279" s="286"/>
      <c r="S279" s="286"/>
      <c r="T279" s="286"/>
    </row>
    <row r="280" spans="1:26" s="406" customFormat="1" ht="31.5" x14ac:dyDescent="0.25">
      <c r="A280" s="407"/>
      <c r="B280" s="222" t="s">
        <v>1359</v>
      </c>
      <c r="C280" s="613">
        <f t="shared" si="60"/>
        <v>50</v>
      </c>
      <c r="D280" s="286"/>
      <c r="E280" s="286"/>
      <c r="F280" s="286">
        <v>50</v>
      </c>
      <c r="G280" s="286"/>
      <c r="H280" s="286"/>
      <c r="I280" s="287">
        <f t="shared" ref="I280:I286" si="63">SUM(J280:N280)</f>
        <v>0</v>
      </c>
      <c r="J280" s="286"/>
      <c r="K280" s="286"/>
      <c r="L280" s="286"/>
      <c r="M280" s="286"/>
      <c r="N280" s="286"/>
      <c r="O280" s="287">
        <f t="shared" ref="O280:O286" si="64">SUM(P280:T280)</f>
        <v>0</v>
      </c>
      <c r="P280" s="286"/>
      <c r="Q280" s="269"/>
      <c r="R280" s="286"/>
      <c r="S280" s="286"/>
      <c r="T280" s="286"/>
    </row>
    <row r="281" spans="1:26" s="406" customFormat="1" x14ac:dyDescent="0.25">
      <c r="A281" s="407"/>
      <c r="B281" s="222" t="s">
        <v>1360</v>
      </c>
      <c r="C281" s="613">
        <f t="shared" si="60"/>
        <v>50</v>
      </c>
      <c r="D281" s="286"/>
      <c r="E281" s="286"/>
      <c r="F281" s="286">
        <v>50</v>
      </c>
      <c r="G281" s="286"/>
      <c r="H281" s="286"/>
      <c r="I281" s="287">
        <f t="shared" si="63"/>
        <v>0</v>
      </c>
      <c r="J281" s="286"/>
      <c r="K281" s="286"/>
      <c r="L281" s="286"/>
      <c r="M281" s="286"/>
      <c r="N281" s="286"/>
      <c r="O281" s="287">
        <f t="shared" si="64"/>
        <v>0</v>
      </c>
      <c r="P281" s="286"/>
      <c r="Q281" s="269"/>
      <c r="R281" s="286"/>
      <c r="S281" s="286"/>
      <c r="T281" s="286"/>
    </row>
    <row r="282" spans="1:26" s="406" customFormat="1" x14ac:dyDescent="0.25">
      <c r="A282" s="407"/>
      <c r="B282" s="222" t="s">
        <v>1361</v>
      </c>
      <c r="C282" s="613">
        <f t="shared" si="60"/>
        <v>150</v>
      </c>
      <c r="D282" s="286"/>
      <c r="E282" s="286"/>
      <c r="F282" s="286">
        <v>150</v>
      </c>
      <c r="G282" s="286"/>
      <c r="H282" s="286"/>
      <c r="I282" s="287">
        <f t="shared" si="63"/>
        <v>0</v>
      </c>
      <c r="J282" s="286"/>
      <c r="K282" s="286"/>
      <c r="L282" s="286"/>
      <c r="M282" s="286"/>
      <c r="N282" s="286"/>
      <c r="O282" s="287">
        <f t="shared" si="64"/>
        <v>0</v>
      </c>
      <c r="P282" s="286"/>
      <c r="Q282" s="269"/>
      <c r="R282" s="286"/>
      <c r="S282" s="286"/>
      <c r="T282" s="286"/>
    </row>
    <row r="283" spans="1:26" s="406" customFormat="1" ht="31.5" x14ac:dyDescent="0.25">
      <c r="A283" s="407"/>
      <c r="B283" s="222" t="s">
        <v>1362</v>
      </c>
      <c r="C283" s="613">
        <f t="shared" si="60"/>
        <v>500</v>
      </c>
      <c r="D283" s="286"/>
      <c r="E283" s="286"/>
      <c r="F283" s="286">
        <v>500</v>
      </c>
      <c r="G283" s="286"/>
      <c r="H283" s="286"/>
      <c r="I283" s="287">
        <f t="shared" si="63"/>
        <v>0</v>
      </c>
      <c r="J283" s="286"/>
      <c r="K283" s="286"/>
      <c r="L283" s="286"/>
      <c r="M283" s="286"/>
      <c r="N283" s="286"/>
      <c r="O283" s="287">
        <f t="shared" si="64"/>
        <v>0</v>
      </c>
      <c r="P283" s="286"/>
      <c r="Q283" s="269"/>
      <c r="R283" s="286"/>
      <c r="S283" s="286"/>
      <c r="T283" s="286"/>
    </row>
    <row r="284" spans="1:26" s="406" customFormat="1" ht="31.5" x14ac:dyDescent="0.25">
      <c r="A284" s="407"/>
      <c r="B284" s="222" t="s">
        <v>1363</v>
      </c>
      <c r="C284" s="613">
        <f t="shared" si="60"/>
        <v>100</v>
      </c>
      <c r="D284" s="286"/>
      <c r="E284" s="286"/>
      <c r="F284" s="286">
        <v>100</v>
      </c>
      <c r="G284" s="286"/>
      <c r="H284" s="286"/>
      <c r="I284" s="287">
        <f t="shared" si="63"/>
        <v>0</v>
      </c>
      <c r="J284" s="286"/>
      <c r="K284" s="286"/>
      <c r="L284" s="286"/>
      <c r="M284" s="286"/>
      <c r="N284" s="286"/>
      <c r="O284" s="287">
        <f t="shared" si="64"/>
        <v>0</v>
      </c>
      <c r="P284" s="286"/>
      <c r="Q284" s="269"/>
      <c r="R284" s="286"/>
      <c r="S284" s="286"/>
      <c r="T284" s="286"/>
    </row>
    <row r="285" spans="1:26" s="406" customFormat="1" ht="37.5" customHeight="1" x14ac:dyDescent="0.25">
      <c r="A285" s="407"/>
      <c r="B285" s="221" t="s">
        <v>1364</v>
      </c>
      <c r="C285" s="613">
        <f t="shared" si="60"/>
        <v>100</v>
      </c>
      <c r="D285" s="286">
        <f>D286</f>
        <v>0</v>
      </c>
      <c r="E285" s="286">
        <f t="shared" ref="E285:H285" si="65">E286</f>
        <v>0</v>
      </c>
      <c r="F285" s="286">
        <f t="shared" si="65"/>
        <v>100</v>
      </c>
      <c r="G285" s="286">
        <f t="shared" si="65"/>
        <v>0</v>
      </c>
      <c r="H285" s="286">
        <f t="shared" si="65"/>
        <v>0</v>
      </c>
      <c r="I285" s="287">
        <f t="shared" si="63"/>
        <v>0</v>
      </c>
      <c r="J285" s="286"/>
      <c r="K285" s="286"/>
      <c r="L285" s="286"/>
      <c r="M285" s="286"/>
      <c r="N285" s="286"/>
      <c r="O285" s="287">
        <f t="shared" si="64"/>
        <v>0</v>
      </c>
      <c r="P285" s="286"/>
      <c r="Q285" s="269"/>
      <c r="R285" s="286"/>
      <c r="S285" s="286"/>
      <c r="T285" s="286"/>
    </row>
    <row r="286" spans="1:26" s="406" customFormat="1" ht="63" x14ac:dyDescent="0.25">
      <c r="A286" s="407"/>
      <c r="B286" s="222" t="s">
        <v>1365</v>
      </c>
      <c r="C286" s="613">
        <f t="shared" si="60"/>
        <v>100</v>
      </c>
      <c r="D286" s="286"/>
      <c r="E286" s="286"/>
      <c r="F286" s="286">
        <v>100</v>
      </c>
      <c r="G286" s="286"/>
      <c r="H286" s="286"/>
      <c r="I286" s="287">
        <f t="shared" si="63"/>
        <v>0</v>
      </c>
      <c r="J286" s="286"/>
      <c r="K286" s="286"/>
      <c r="L286" s="286"/>
      <c r="M286" s="286"/>
      <c r="N286" s="286"/>
      <c r="O286" s="287">
        <f t="shared" si="64"/>
        <v>0</v>
      </c>
      <c r="P286" s="286"/>
      <c r="Q286" s="269"/>
      <c r="R286" s="286"/>
      <c r="S286" s="286"/>
      <c r="T286" s="286"/>
    </row>
    <row r="287" spans="1:26" s="621" customFormat="1" ht="63" x14ac:dyDescent="0.3">
      <c r="A287" s="616">
        <v>19</v>
      </c>
      <c r="B287" s="645" t="s">
        <v>1390</v>
      </c>
      <c r="C287" s="642">
        <f t="shared" si="60"/>
        <v>1171264.388</v>
      </c>
      <c r="D287" s="642">
        <f>D288+D292+D317+D336+D344+D350</f>
        <v>0</v>
      </c>
      <c r="E287" s="642">
        <f>E288+E292+E317+E336+E344+E350</f>
        <v>684412.5</v>
      </c>
      <c r="F287" s="642">
        <f>F288+F292+F317+F336+F344+F350</f>
        <v>470139.408</v>
      </c>
      <c r="G287" s="642">
        <f>G288+G292+G317+G336+G344+G350</f>
        <v>0</v>
      </c>
      <c r="H287" s="642">
        <f>H288+H292+H317+H336+H344+H350</f>
        <v>16712.48</v>
      </c>
      <c r="I287" s="642">
        <f>SUM(J287:N287)</f>
        <v>1257381.1596299999</v>
      </c>
      <c r="J287" s="642">
        <f>J288+J292+J317+J336+J344+J350</f>
        <v>18147.519990000001</v>
      </c>
      <c r="K287" s="642">
        <f>K288+K292+K317+K336+K344+K350</f>
        <v>730080.49231999996</v>
      </c>
      <c r="L287" s="642">
        <f>L288+L292+L317+L336+L344+L350</f>
        <v>495318.98732000007</v>
      </c>
      <c r="M287" s="642">
        <f>M288+M292+M317+M336+M344+M350</f>
        <v>0</v>
      </c>
      <c r="N287" s="642">
        <f>N288+N292+N317+N336+N344+N350</f>
        <v>13834.16</v>
      </c>
      <c r="O287" s="642">
        <f t="shared" ref="O287:O350" si="66">SUM(P287:T287)</f>
        <v>1244591.75887</v>
      </c>
      <c r="P287" s="642">
        <f>P288+P292+P317+P336+P344+P350</f>
        <v>15072.801300000001</v>
      </c>
      <c r="Q287" s="642">
        <f>Q288+Q292+Q317+Q336+Q344+Q350</f>
        <v>729210.01263000001</v>
      </c>
      <c r="R287" s="642">
        <f>R288+R292+R317+R336+R344+R350</f>
        <v>488653.71494000003</v>
      </c>
      <c r="S287" s="642">
        <f>S288+S292+S317+S336+S344+S350</f>
        <v>0</v>
      </c>
      <c r="T287" s="642">
        <f>T288+T292+T317+T336+T344+T350</f>
        <v>11655.23</v>
      </c>
      <c r="U287" s="619">
        <f>I287/4*4</f>
        <v>1257381.1596299999</v>
      </c>
      <c r="V287" s="620">
        <f>O287/U287*100</f>
        <v>98.982854112132287</v>
      </c>
      <c r="Y287" s="622">
        <f>I287-L287</f>
        <v>762062.17230999982</v>
      </c>
      <c r="Z287" s="622">
        <f>Y287/I287*100</f>
        <v>60.607093280628298</v>
      </c>
    </row>
    <row r="288" spans="1:26" ht="31.5" x14ac:dyDescent="0.25">
      <c r="A288" s="407"/>
      <c r="B288" s="382" t="s">
        <v>662</v>
      </c>
      <c r="C288" s="162">
        <f>SUM(C289:C291)</f>
        <v>27180.73</v>
      </c>
      <c r="D288" s="200">
        <f>SUM(D289:D291)</f>
        <v>0</v>
      </c>
      <c r="E288" s="200">
        <f>SUM(E289:E291)</f>
        <v>0</v>
      </c>
      <c r="F288" s="200">
        <f>SUM(F289:F291)</f>
        <v>27180.73</v>
      </c>
      <c r="G288" s="200"/>
      <c r="H288" s="200">
        <f>SUM(H289:H291)</f>
        <v>0</v>
      </c>
      <c r="I288" s="162">
        <f>SUM(J288:N288)</f>
        <v>26726.196</v>
      </c>
      <c r="J288" s="200">
        <f>SUM(J289:J291)</f>
        <v>0</v>
      </c>
      <c r="K288" s="200">
        <f>SUM(K289:K291)</f>
        <v>0</v>
      </c>
      <c r="L288" s="200">
        <f>SUM(L289:L291)</f>
        <v>26726.196</v>
      </c>
      <c r="M288" s="392"/>
      <c r="N288" s="200">
        <f>SUM(N289:N291)</f>
        <v>0</v>
      </c>
      <c r="O288" s="162">
        <f t="shared" si="66"/>
        <v>25573.64084</v>
      </c>
      <c r="P288" s="200">
        <f>SUM(P289:P291)</f>
        <v>0</v>
      </c>
      <c r="Q288" s="200">
        <f>SUM(Q289:Q291)</f>
        <v>0</v>
      </c>
      <c r="R288" s="200">
        <f>SUM(R289:R291)</f>
        <v>25573.64084</v>
      </c>
      <c r="S288" s="392"/>
      <c r="T288" s="200">
        <f>SUM(T289:T291)</f>
        <v>0</v>
      </c>
    </row>
    <row r="289" spans="1:20" ht="47.25" x14ac:dyDescent="0.25">
      <c r="A289" s="407"/>
      <c r="B289" s="390" t="s">
        <v>663</v>
      </c>
      <c r="C289" s="162">
        <f>SUM(D289:H289)</f>
        <v>27080.73</v>
      </c>
      <c r="D289" s="170"/>
      <c r="E289" s="170"/>
      <c r="F289" s="170">
        <v>27080.73</v>
      </c>
      <c r="G289" s="170"/>
      <c r="H289" s="170"/>
      <c r="I289" s="162">
        <f t="shared" ref="I289:I352" si="67">SUM(J289:N289)</f>
        <v>26525.4</v>
      </c>
      <c r="J289" s="389"/>
      <c r="K289" s="389"/>
      <c r="L289" s="389">
        <v>26525.4</v>
      </c>
      <c r="M289" s="392"/>
      <c r="N289" s="389"/>
      <c r="O289" s="162">
        <f t="shared" si="66"/>
        <v>25372.840840000001</v>
      </c>
      <c r="P289" s="389"/>
      <c r="Q289" s="389"/>
      <c r="R289" s="402">
        <v>25372.840840000001</v>
      </c>
      <c r="S289" s="392"/>
      <c r="T289" s="389"/>
    </row>
    <row r="290" spans="1:20" ht="47.25" x14ac:dyDescent="0.25">
      <c r="A290" s="407"/>
      <c r="B290" s="390" t="s">
        <v>664</v>
      </c>
      <c r="C290" s="162">
        <f t="shared" ref="C290:C353" si="68">SUM(D290:H290)</f>
        <v>100</v>
      </c>
      <c r="D290" s="170"/>
      <c r="E290" s="170"/>
      <c r="F290" s="170">
        <v>100</v>
      </c>
      <c r="G290" s="170"/>
      <c r="H290" s="170"/>
      <c r="I290" s="162">
        <f t="shared" si="67"/>
        <v>100.79600000000001</v>
      </c>
      <c r="J290" s="389"/>
      <c r="K290" s="389"/>
      <c r="L290" s="389">
        <v>100.79600000000001</v>
      </c>
      <c r="M290" s="392"/>
      <c r="N290" s="389"/>
      <c r="O290" s="162">
        <f t="shared" si="66"/>
        <v>100.8</v>
      </c>
      <c r="P290" s="392"/>
      <c r="Q290" s="392"/>
      <c r="R290" s="403">
        <v>100.8</v>
      </c>
      <c r="S290" s="392"/>
      <c r="T290" s="392"/>
    </row>
    <row r="291" spans="1:20" ht="47.25" x14ac:dyDescent="0.25">
      <c r="A291" s="407"/>
      <c r="B291" s="390" t="s">
        <v>665</v>
      </c>
      <c r="C291" s="162">
        <f t="shared" si="68"/>
        <v>0</v>
      </c>
      <c r="D291" s="170"/>
      <c r="E291" s="170"/>
      <c r="F291" s="170"/>
      <c r="G291" s="170"/>
      <c r="H291" s="170"/>
      <c r="I291" s="162">
        <f t="shared" si="67"/>
        <v>100</v>
      </c>
      <c r="J291" s="389"/>
      <c r="K291" s="389"/>
      <c r="L291" s="389">
        <v>100</v>
      </c>
      <c r="M291" s="392"/>
      <c r="N291" s="389"/>
      <c r="O291" s="162">
        <f t="shared" si="66"/>
        <v>100</v>
      </c>
      <c r="P291" s="392"/>
      <c r="Q291" s="392"/>
      <c r="R291" s="403">
        <v>100</v>
      </c>
      <c r="S291" s="392"/>
      <c r="T291" s="392"/>
    </row>
    <row r="292" spans="1:20" ht="31.5" x14ac:dyDescent="0.25">
      <c r="A292" s="407"/>
      <c r="B292" s="382" t="s">
        <v>666</v>
      </c>
      <c r="C292" s="162">
        <f t="shared" si="68"/>
        <v>859156.56099999999</v>
      </c>
      <c r="D292" s="200">
        <f>D293+D301+D315</f>
        <v>0</v>
      </c>
      <c r="E292" s="200">
        <f>E293+E301+E315</f>
        <v>493699.3</v>
      </c>
      <c r="F292" s="200">
        <f>F293+F301+F315</f>
        <v>348844.78100000002</v>
      </c>
      <c r="G292" s="200"/>
      <c r="H292" s="200">
        <f>H293+H301+H315</f>
        <v>16612.48</v>
      </c>
      <c r="I292" s="162">
        <f>SUM(J292:N292)</f>
        <v>998706.00589000003</v>
      </c>
      <c r="J292" s="200">
        <f>J293+J301+J315</f>
        <v>16304.938000000002</v>
      </c>
      <c r="K292" s="200">
        <f>K293+K301+K315</f>
        <v>631401.929</v>
      </c>
      <c r="L292" s="200">
        <f>L293+L301+L315</f>
        <v>337234.97889000003</v>
      </c>
      <c r="M292" s="392"/>
      <c r="N292" s="200">
        <f>N293+N301+N315</f>
        <v>13764.16</v>
      </c>
      <c r="O292" s="162">
        <f t="shared" si="66"/>
        <v>993616.46486000007</v>
      </c>
      <c r="P292" s="200">
        <f>P293+P301+P315</f>
        <v>14430.310000000001</v>
      </c>
      <c r="Q292" s="200">
        <f>Q293+Q301+Q315</f>
        <v>631159.68822000001</v>
      </c>
      <c r="R292" s="200">
        <f>R293+R301+R315</f>
        <v>336391.23664000002</v>
      </c>
      <c r="S292" s="392"/>
      <c r="T292" s="200">
        <f>T293+T301+T315</f>
        <v>11635.23</v>
      </c>
    </row>
    <row r="293" spans="1:20" ht="110.25" x14ac:dyDescent="0.25">
      <c r="A293" s="407"/>
      <c r="B293" s="382" t="s">
        <v>667</v>
      </c>
      <c r="C293" s="162">
        <f t="shared" si="68"/>
        <v>328449.80299999996</v>
      </c>
      <c r="D293" s="172">
        <f>SUM(D294:D300)</f>
        <v>0</v>
      </c>
      <c r="E293" s="172">
        <f>SUM(E294:E300)</f>
        <v>167682.5</v>
      </c>
      <c r="F293" s="172">
        <f>SUM(F294:F300)</f>
        <v>147594.823</v>
      </c>
      <c r="G293" s="172">
        <f>SUM(G294:G300)</f>
        <v>0</v>
      </c>
      <c r="H293" s="172">
        <f>SUM(H294:H300)</f>
        <v>13172.48</v>
      </c>
      <c r="I293" s="162">
        <f t="shared" si="67"/>
        <v>336928.29371000006</v>
      </c>
      <c r="J293" s="200">
        <f>SUM(J294:J300)</f>
        <v>0</v>
      </c>
      <c r="K293" s="200">
        <f>SUM(K294:K300)</f>
        <v>182110.25900000002</v>
      </c>
      <c r="L293" s="200">
        <f>SUM(L294:L300)</f>
        <v>143506.36471000002</v>
      </c>
      <c r="M293" s="392"/>
      <c r="N293" s="200">
        <f>SUM(N294:N300)</f>
        <v>11311.67</v>
      </c>
      <c r="O293" s="162">
        <f t="shared" si="66"/>
        <v>334642.00879000005</v>
      </c>
      <c r="P293" s="200">
        <f>SUM(P294:P300)</f>
        <v>0</v>
      </c>
      <c r="Q293" s="200">
        <f>SUM(Q294:Q300)</f>
        <v>181892.00822000002</v>
      </c>
      <c r="R293" s="200">
        <f>SUM(R294:R300)</f>
        <v>142714.56057000003</v>
      </c>
      <c r="S293" s="200">
        <f>SUM(S294:S300)</f>
        <v>0</v>
      </c>
      <c r="T293" s="200">
        <f>SUM(T294:T300)</f>
        <v>10035.44</v>
      </c>
    </row>
    <row r="294" spans="1:20" ht="47.25" x14ac:dyDescent="0.25">
      <c r="A294" s="407"/>
      <c r="B294" s="390" t="s">
        <v>663</v>
      </c>
      <c r="C294" s="162">
        <f t="shared" si="68"/>
        <v>159185.30300000001</v>
      </c>
      <c r="D294" s="170"/>
      <c r="E294" s="170"/>
      <c r="F294" s="170">
        <v>146012.823</v>
      </c>
      <c r="G294" s="170"/>
      <c r="H294" s="170">
        <v>13172.48</v>
      </c>
      <c r="I294" s="162">
        <f t="shared" si="67"/>
        <v>152614.05750000002</v>
      </c>
      <c r="J294" s="389"/>
      <c r="K294" s="389"/>
      <c r="L294" s="389">
        <f>24.4273+791.80414+140486.15606</f>
        <v>141302.38750000001</v>
      </c>
      <c r="M294" s="392"/>
      <c r="N294" s="389">
        <v>11311.67</v>
      </c>
      <c r="O294" s="162">
        <f t="shared" si="66"/>
        <v>150546.02336000002</v>
      </c>
      <c r="P294" s="389"/>
      <c r="Q294" s="389"/>
      <c r="R294" s="402">
        <f>24.4273+140486.15606</f>
        <v>140510.58336000002</v>
      </c>
      <c r="S294" s="392"/>
      <c r="T294" s="389">
        <v>10035.44</v>
      </c>
    </row>
    <row r="295" spans="1:20" ht="47.25" x14ac:dyDescent="0.25">
      <c r="A295" s="407"/>
      <c r="B295" s="390" t="s">
        <v>668</v>
      </c>
      <c r="C295" s="162">
        <f t="shared" si="68"/>
        <v>1582</v>
      </c>
      <c r="D295" s="170"/>
      <c r="E295" s="170"/>
      <c r="F295" s="170">
        <v>1582</v>
      </c>
      <c r="G295" s="170"/>
      <c r="H295" s="170"/>
      <c r="I295" s="162">
        <f t="shared" si="67"/>
        <v>2053.8366299999998</v>
      </c>
      <c r="J295" s="389"/>
      <c r="K295" s="389"/>
      <c r="L295" s="389">
        <v>2053.8366299999998</v>
      </c>
      <c r="M295" s="392"/>
      <c r="N295" s="389"/>
      <c r="O295" s="162">
        <f t="shared" si="66"/>
        <v>2053.8366299999998</v>
      </c>
      <c r="P295" s="389"/>
      <c r="Q295" s="389"/>
      <c r="R295" s="402">
        <v>2053.8366299999998</v>
      </c>
      <c r="S295" s="392"/>
      <c r="T295" s="389"/>
    </row>
    <row r="296" spans="1:20" ht="47.25" x14ac:dyDescent="0.25">
      <c r="A296" s="407"/>
      <c r="B296" s="390" t="s">
        <v>669</v>
      </c>
      <c r="C296" s="162">
        <f t="shared" si="68"/>
        <v>0</v>
      </c>
      <c r="D296" s="170"/>
      <c r="E296" s="170"/>
      <c r="F296" s="170"/>
      <c r="G296" s="170"/>
      <c r="H296" s="170"/>
      <c r="I296" s="162">
        <f t="shared" si="67"/>
        <v>14.37486</v>
      </c>
      <c r="J296" s="389"/>
      <c r="K296" s="389"/>
      <c r="L296" s="389">
        <v>14.37486</v>
      </c>
      <c r="M296" s="392"/>
      <c r="N296" s="389"/>
      <c r="O296" s="162">
        <f t="shared" si="66"/>
        <v>14.37486</v>
      </c>
      <c r="P296" s="389"/>
      <c r="Q296" s="389"/>
      <c r="R296" s="402">
        <v>14.37486</v>
      </c>
      <c r="S296" s="392"/>
      <c r="T296" s="389"/>
    </row>
    <row r="297" spans="1:20" ht="33" customHeight="1" x14ac:dyDescent="0.25">
      <c r="A297" s="407"/>
      <c r="B297" s="390" t="s">
        <v>670</v>
      </c>
      <c r="C297" s="162">
        <f t="shared" si="68"/>
        <v>0</v>
      </c>
      <c r="D297" s="170"/>
      <c r="E297" s="170"/>
      <c r="F297" s="170"/>
      <c r="G297" s="170"/>
      <c r="H297" s="170"/>
      <c r="I297" s="162">
        <f t="shared" si="67"/>
        <v>109.54572</v>
      </c>
      <c r="J297" s="389"/>
      <c r="K297" s="389"/>
      <c r="L297" s="389">
        <v>109.54572</v>
      </c>
      <c r="M297" s="392"/>
      <c r="N297" s="389"/>
      <c r="O297" s="162">
        <f t="shared" si="66"/>
        <v>109.54572</v>
      </c>
      <c r="P297" s="389"/>
      <c r="Q297" s="389"/>
      <c r="R297" s="402">
        <v>109.54572</v>
      </c>
      <c r="S297" s="392"/>
      <c r="T297" s="389"/>
    </row>
    <row r="298" spans="1:20" ht="102.75" customHeight="1" x14ac:dyDescent="0.25">
      <c r="A298" s="407"/>
      <c r="B298" s="390" t="s">
        <v>671</v>
      </c>
      <c r="C298" s="162">
        <f t="shared" si="68"/>
        <v>0</v>
      </c>
      <c r="D298" s="170"/>
      <c r="E298" s="170"/>
      <c r="F298" s="170"/>
      <c r="G298" s="170"/>
      <c r="H298" s="170"/>
      <c r="I298" s="162">
        <f t="shared" si="67"/>
        <v>447.87900000000002</v>
      </c>
      <c r="J298" s="389"/>
      <c r="K298" s="389">
        <f>421.659</f>
        <v>421.65899999999999</v>
      </c>
      <c r="L298" s="389">
        <f>26.22</f>
        <v>26.22</v>
      </c>
      <c r="M298" s="392"/>
      <c r="N298" s="389"/>
      <c r="O298" s="162">
        <f t="shared" si="66"/>
        <v>447.87900000000002</v>
      </c>
      <c r="P298" s="389"/>
      <c r="Q298" s="402">
        <v>421.65899999999999</v>
      </c>
      <c r="R298" s="402">
        <v>26.22</v>
      </c>
      <c r="S298" s="392"/>
      <c r="T298" s="389"/>
    </row>
    <row r="299" spans="1:20" ht="103.5" customHeight="1" x14ac:dyDescent="0.25">
      <c r="A299" s="407"/>
      <c r="B299" s="390" t="s">
        <v>672</v>
      </c>
      <c r="C299" s="162">
        <f t="shared" si="68"/>
        <v>160889.5</v>
      </c>
      <c r="D299" s="170"/>
      <c r="E299" s="170">
        <v>160889.5</v>
      </c>
      <c r="F299" s="170"/>
      <c r="G299" s="170"/>
      <c r="H299" s="170"/>
      <c r="I299" s="162">
        <f t="shared" si="67"/>
        <v>178795.6</v>
      </c>
      <c r="J299" s="389"/>
      <c r="K299" s="389">
        <f>227.86936+178567.73064</f>
        <v>178795.6</v>
      </c>
      <c r="L299" s="389"/>
      <c r="M299" s="392"/>
      <c r="N299" s="389"/>
      <c r="O299" s="162">
        <f t="shared" si="66"/>
        <v>178795.6</v>
      </c>
      <c r="P299" s="389"/>
      <c r="Q299" s="402">
        <f>227.86936+178567.73064</f>
        <v>178795.6</v>
      </c>
      <c r="R299" s="389"/>
      <c r="S299" s="392"/>
      <c r="T299" s="389"/>
    </row>
    <row r="300" spans="1:20" ht="130.5" customHeight="1" x14ac:dyDescent="0.25">
      <c r="A300" s="407"/>
      <c r="B300" s="390" t="s">
        <v>673</v>
      </c>
      <c r="C300" s="162">
        <f t="shared" si="68"/>
        <v>6793</v>
      </c>
      <c r="D300" s="170"/>
      <c r="E300" s="170">
        <v>6793</v>
      </c>
      <c r="F300" s="170"/>
      <c r="G300" s="170"/>
      <c r="H300" s="170"/>
      <c r="I300" s="162">
        <f t="shared" si="67"/>
        <v>2893</v>
      </c>
      <c r="J300" s="389"/>
      <c r="K300" s="389">
        <v>2893</v>
      </c>
      <c r="L300" s="389"/>
      <c r="M300" s="392"/>
      <c r="N300" s="389"/>
      <c r="O300" s="162">
        <f t="shared" si="66"/>
        <v>2674.7492200000002</v>
      </c>
      <c r="P300" s="389"/>
      <c r="Q300" s="402">
        <v>2674.7492200000002</v>
      </c>
      <c r="R300" s="389"/>
      <c r="S300" s="392"/>
      <c r="T300" s="389"/>
    </row>
    <row r="301" spans="1:20" ht="146.25" customHeight="1" x14ac:dyDescent="0.25">
      <c r="A301" s="407"/>
      <c r="B301" s="382" t="s">
        <v>674</v>
      </c>
      <c r="C301" s="162">
        <f t="shared" si="68"/>
        <v>530106.75800000003</v>
      </c>
      <c r="D301" s="172">
        <f>SUM(D302:D314)</f>
        <v>0</v>
      </c>
      <c r="E301" s="172">
        <f>SUM(E302:E314)</f>
        <v>326016.8</v>
      </c>
      <c r="F301" s="172">
        <f>SUM(F302:F314)</f>
        <v>200649.95800000001</v>
      </c>
      <c r="G301" s="172">
        <f>SUM(G302:G314)</f>
        <v>0</v>
      </c>
      <c r="H301" s="172">
        <f>SUM(H302:H314)</f>
        <v>3440</v>
      </c>
      <c r="I301" s="162">
        <f t="shared" si="67"/>
        <v>661177.71218000003</v>
      </c>
      <c r="J301" s="200">
        <f>SUM(J302:J314)</f>
        <v>16304.938000000002</v>
      </c>
      <c r="K301" s="200">
        <f>SUM(K302:K314)</f>
        <v>449291.67</v>
      </c>
      <c r="L301" s="200">
        <f>SUM(L302:L314)</f>
        <v>193128.61417999998</v>
      </c>
      <c r="M301" s="200">
        <f>SUM(M302:M314)</f>
        <v>0</v>
      </c>
      <c r="N301" s="200">
        <f>SUM(N302:N314)</f>
        <v>2452.4899999999998</v>
      </c>
      <c r="O301" s="162">
        <f t="shared" si="66"/>
        <v>658374.45607000007</v>
      </c>
      <c r="P301" s="200">
        <f>SUM(P302:P314)</f>
        <v>14430.310000000001</v>
      </c>
      <c r="Q301" s="200">
        <f>SUM(Q302:Q314)</f>
        <v>449267.68</v>
      </c>
      <c r="R301" s="200">
        <f>SUM(R302:R314)</f>
        <v>193076.67606999999</v>
      </c>
      <c r="S301" s="200">
        <f>SUM(S302:S314)</f>
        <v>0</v>
      </c>
      <c r="T301" s="200">
        <f>SUM(T302:T314)</f>
        <v>1599.79</v>
      </c>
    </row>
    <row r="302" spans="1:20" ht="47.25" x14ac:dyDescent="0.25">
      <c r="A302" s="407"/>
      <c r="B302" s="390" t="s">
        <v>663</v>
      </c>
      <c r="C302" s="162">
        <f t="shared" si="68"/>
        <v>201398.95800000001</v>
      </c>
      <c r="D302" s="170"/>
      <c r="E302" s="170"/>
      <c r="F302" s="170">
        <f>189599.519+8359.439</f>
        <v>197958.95800000001</v>
      </c>
      <c r="G302" s="170"/>
      <c r="H302" s="170">
        <v>3440</v>
      </c>
      <c r="I302" s="162">
        <f t="shared" si="67"/>
        <v>190819.32093999998</v>
      </c>
      <c r="J302" s="389"/>
      <c r="K302" s="389"/>
      <c r="L302" s="389">
        <f>178510.74063+9856.09031</f>
        <v>188366.83093999999</v>
      </c>
      <c r="M302" s="392"/>
      <c r="N302" s="389">
        <v>2452.4899999999998</v>
      </c>
      <c r="O302" s="162">
        <f t="shared" si="66"/>
        <v>189966.62093999999</v>
      </c>
      <c r="P302" s="389"/>
      <c r="Q302" s="389"/>
      <c r="R302" s="402">
        <f>178510.74063+9856.09031</f>
        <v>188366.83093999999</v>
      </c>
      <c r="S302" s="392"/>
      <c r="T302" s="389">
        <v>1599.79</v>
      </c>
    </row>
    <row r="303" spans="1:20" ht="52.5" customHeight="1" x14ac:dyDescent="0.25">
      <c r="A303" s="407"/>
      <c r="B303" s="390" t="s">
        <v>668</v>
      </c>
      <c r="C303" s="162">
        <f t="shared" si="68"/>
        <v>2596</v>
      </c>
      <c r="D303" s="170"/>
      <c r="E303" s="170"/>
      <c r="F303" s="170">
        <v>2596</v>
      </c>
      <c r="G303" s="170"/>
      <c r="H303" s="170"/>
      <c r="I303" s="162">
        <f t="shared" si="67"/>
        <v>3427.3568</v>
      </c>
      <c r="J303" s="389"/>
      <c r="K303" s="389"/>
      <c r="L303" s="389">
        <v>3427.3568</v>
      </c>
      <c r="M303" s="392"/>
      <c r="N303" s="389"/>
      <c r="O303" s="162">
        <f t="shared" si="66"/>
        <v>3427.3568</v>
      </c>
      <c r="P303" s="389"/>
      <c r="Q303" s="389"/>
      <c r="R303" s="402">
        <v>3427.3568</v>
      </c>
      <c r="S303" s="392"/>
      <c r="T303" s="389"/>
    </row>
    <row r="304" spans="1:20" ht="104.25" customHeight="1" x14ac:dyDescent="0.25">
      <c r="A304" s="407"/>
      <c r="B304" s="390" t="s">
        <v>671</v>
      </c>
      <c r="C304" s="162">
        <f t="shared" si="68"/>
        <v>0</v>
      </c>
      <c r="D304" s="170"/>
      <c r="E304" s="170"/>
      <c r="F304" s="170"/>
      <c r="G304" s="170"/>
      <c r="H304" s="170"/>
      <c r="I304" s="162">
        <f t="shared" si="67"/>
        <v>1501.1959999999999</v>
      </c>
      <c r="J304" s="389"/>
      <c r="K304" s="389">
        <v>1246.0899999999999</v>
      </c>
      <c r="L304" s="389">
        <f>255.106</f>
        <v>255.10599999999999</v>
      </c>
      <c r="M304" s="392"/>
      <c r="N304" s="389"/>
      <c r="O304" s="162">
        <f t="shared" si="66"/>
        <v>1501.1959999999999</v>
      </c>
      <c r="P304" s="389"/>
      <c r="Q304" s="389">
        <v>1246.0899999999999</v>
      </c>
      <c r="R304" s="402">
        <v>255.10599999999999</v>
      </c>
      <c r="S304" s="392"/>
      <c r="T304" s="389"/>
    </row>
    <row r="305" spans="1:20" ht="54" customHeight="1" x14ac:dyDescent="0.25">
      <c r="A305" s="407"/>
      <c r="B305" s="390" t="s">
        <v>669</v>
      </c>
      <c r="C305" s="162">
        <f t="shared" si="68"/>
        <v>0</v>
      </c>
      <c r="D305" s="170"/>
      <c r="E305" s="170"/>
      <c r="F305" s="170"/>
      <c r="G305" s="170"/>
      <c r="H305" s="170"/>
      <c r="I305" s="162">
        <f t="shared" si="67"/>
        <v>68.025300000000001</v>
      </c>
      <c r="J305" s="389"/>
      <c r="K305" s="389"/>
      <c r="L305" s="389">
        <v>68.025300000000001</v>
      </c>
      <c r="M305" s="392"/>
      <c r="N305" s="389"/>
      <c r="O305" s="162">
        <f t="shared" si="66"/>
        <v>68.025300000000001</v>
      </c>
      <c r="P305" s="389"/>
      <c r="Q305" s="389"/>
      <c r="R305" s="402">
        <v>68.025300000000001</v>
      </c>
      <c r="S305" s="392"/>
      <c r="T305" s="389"/>
    </row>
    <row r="306" spans="1:20" ht="38.25" customHeight="1" x14ac:dyDescent="0.25">
      <c r="A306" s="407"/>
      <c r="B306" s="390" t="s">
        <v>670</v>
      </c>
      <c r="C306" s="162">
        <f t="shared" si="68"/>
        <v>0</v>
      </c>
      <c r="D306" s="170"/>
      <c r="E306" s="170"/>
      <c r="F306" s="170"/>
      <c r="G306" s="170"/>
      <c r="H306" s="170"/>
      <c r="I306" s="162">
        <f t="shared" si="67"/>
        <v>634.98414000000002</v>
      </c>
      <c r="J306" s="389"/>
      <c r="K306" s="389"/>
      <c r="L306" s="389">
        <v>634.98414000000002</v>
      </c>
      <c r="M306" s="392"/>
      <c r="N306" s="389"/>
      <c r="O306" s="162">
        <f t="shared" si="66"/>
        <v>634.98414000000002</v>
      </c>
      <c r="P306" s="389"/>
      <c r="Q306" s="389"/>
      <c r="R306" s="402">
        <v>634.98414000000002</v>
      </c>
      <c r="S306" s="392"/>
      <c r="T306" s="389"/>
    </row>
    <row r="307" spans="1:20" ht="162.75" customHeight="1" x14ac:dyDescent="0.25">
      <c r="A307" s="407"/>
      <c r="B307" s="390" t="s">
        <v>675</v>
      </c>
      <c r="C307" s="162">
        <f t="shared" si="68"/>
        <v>326016.8</v>
      </c>
      <c r="D307" s="170"/>
      <c r="E307" s="170">
        <v>326016.8</v>
      </c>
      <c r="F307" s="170"/>
      <c r="G307" s="170"/>
      <c r="H307" s="170"/>
      <c r="I307" s="162">
        <f t="shared" si="67"/>
        <v>445703.47</v>
      </c>
      <c r="J307" s="389"/>
      <c r="K307" s="389">
        <v>445703.47</v>
      </c>
      <c r="L307" s="389"/>
      <c r="M307" s="392"/>
      <c r="N307" s="389"/>
      <c r="O307" s="162">
        <f t="shared" si="66"/>
        <v>445703.47</v>
      </c>
      <c r="P307" s="389"/>
      <c r="Q307" s="389">
        <v>445703.47</v>
      </c>
      <c r="R307" s="389"/>
      <c r="S307" s="392"/>
      <c r="T307" s="389"/>
    </row>
    <row r="308" spans="1:20" ht="31.5" x14ac:dyDescent="0.25">
      <c r="A308" s="407"/>
      <c r="B308" s="390" t="s">
        <v>676</v>
      </c>
      <c r="C308" s="162">
        <f t="shared" si="68"/>
        <v>0</v>
      </c>
      <c r="D308" s="170"/>
      <c r="E308" s="170"/>
      <c r="F308" s="170"/>
      <c r="G308" s="170"/>
      <c r="H308" s="170"/>
      <c r="I308" s="162">
        <f t="shared" si="67"/>
        <v>1100</v>
      </c>
      <c r="J308" s="389"/>
      <c r="K308" s="389">
        <v>1100</v>
      </c>
      <c r="L308" s="389"/>
      <c r="M308" s="392"/>
      <c r="N308" s="389"/>
      <c r="O308" s="162">
        <f t="shared" si="66"/>
        <v>1100</v>
      </c>
      <c r="P308" s="389"/>
      <c r="Q308" s="389">
        <v>1100</v>
      </c>
      <c r="R308" s="389"/>
      <c r="S308" s="392"/>
      <c r="T308" s="389"/>
    </row>
    <row r="309" spans="1:20" ht="263.25" customHeight="1" x14ac:dyDescent="0.25">
      <c r="A309" s="407"/>
      <c r="B309" s="390" t="s">
        <v>677</v>
      </c>
      <c r="C309" s="162">
        <f t="shared" si="68"/>
        <v>0</v>
      </c>
      <c r="D309" s="170"/>
      <c r="E309" s="170"/>
      <c r="F309" s="170"/>
      <c r="G309" s="170"/>
      <c r="H309" s="170"/>
      <c r="I309" s="162">
        <f t="shared" si="67"/>
        <v>10350.900000000001</v>
      </c>
      <c r="J309" s="389">
        <v>9108.7900000000009</v>
      </c>
      <c r="K309" s="389">
        <v>1242.1099999999999</v>
      </c>
      <c r="L309" s="389"/>
      <c r="M309" s="392"/>
      <c r="N309" s="389"/>
      <c r="O309" s="162">
        <f t="shared" si="66"/>
        <v>10131.619999999999</v>
      </c>
      <c r="P309" s="389">
        <v>8913.5</v>
      </c>
      <c r="Q309" s="389">
        <v>1218.1199999999999</v>
      </c>
      <c r="R309" s="389"/>
      <c r="S309" s="392"/>
      <c r="T309" s="389"/>
    </row>
    <row r="310" spans="1:20" ht="116.25" customHeight="1" x14ac:dyDescent="0.25">
      <c r="A310" s="407"/>
      <c r="B310" s="390" t="s">
        <v>678</v>
      </c>
      <c r="C310" s="162">
        <f t="shared" si="68"/>
        <v>0</v>
      </c>
      <c r="D310" s="170"/>
      <c r="E310" s="170"/>
      <c r="F310" s="170"/>
      <c r="G310" s="170"/>
      <c r="H310" s="170"/>
      <c r="I310" s="162">
        <f t="shared" si="67"/>
        <v>7418.7089999999998</v>
      </c>
      <c r="J310" s="389">
        <v>7196.1480000000001</v>
      </c>
      <c r="K310" s="389"/>
      <c r="L310" s="402">
        <v>222.56100000000001</v>
      </c>
      <c r="M310" s="392"/>
      <c r="N310" s="389"/>
      <c r="O310" s="162">
        <f t="shared" si="66"/>
        <v>5687.43289</v>
      </c>
      <c r="P310" s="389">
        <v>5516.81</v>
      </c>
      <c r="Q310" s="389"/>
      <c r="R310" s="402">
        <v>170.62289000000001</v>
      </c>
      <c r="S310" s="392"/>
      <c r="T310" s="389"/>
    </row>
    <row r="311" spans="1:20" ht="31.5" x14ac:dyDescent="0.25">
      <c r="A311" s="407"/>
      <c r="B311" s="390" t="s">
        <v>679</v>
      </c>
      <c r="C311" s="162">
        <f t="shared" si="68"/>
        <v>20</v>
      </c>
      <c r="D311" s="170"/>
      <c r="E311" s="170"/>
      <c r="F311" s="170">
        <v>20</v>
      </c>
      <c r="G311" s="170"/>
      <c r="H311" s="170"/>
      <c r="I311" s="162">
        <f t="shared" si="67"/>
        <v>38.75</v>
      </c>
      <c r="J311" s="389"/>
      <c r="K311" s="389"/>
      <c r="L311" s="389">
        <v>38.75</v>
      </c>
      <c r="M311" s="392"/>
      <c r="N311" s="389"/>
      <c r="O311" s="162">
        <f t="shared" si="66"/>
        <v>38.75</v>
      </c>
      <c r="P311" s="392"/>
      <c r="Q311" s="392"/>
      <c r="R311" s="402">
        <v>38.75</v>
      </c>
      <c r="S311" s="392"/>
      <c r="T311" s="392"/>
    </row>
    <row r="312" spans="1:20" ht="63" x14ac:dyDescent="0.25">
      <c r="A312" s="407"/>
      <c r="B312" s="390" t="s">
        <v>680</v>
      </c>
      <c r="C312" s="162">
        <f t="shared" si="68"/>
        <v>50</v>
      </c>
      <c r="D312" s="170"/>
      <c r="E312" s="170"/>
      <c r="F312" s="170">
        <v>50</v>
      </c>
      <c r="G312" s="170"/>
      <c r="H312" s="170"/>
      <c r="I312" s="162">
        <f t="shared" si="67"/>
        <v>60</v>
      </c>
      <c r="J312" s="389"/>
      <c r="K312" s="389"/>
      <c r="L312" s="389">
        <v>60</v>
      </c>
      <c r="M312" s="392"/>
      <c r="N312" s="389"/>
      <c r="O312" s="162">
        <f t="shared" si="66"/>
        <v>60</v>
      </c>
      <c r="P312" s="389"/>
      <c r="Q312" s="389"/>
      <c r="R312" s="403">
        <v>60</v>
      </c>
      <c r="S312" s="392"/>
      <c r="T312" s="389"/>
    </row>
    <row r="313" spans="1:20" ht="47.25" x14ac:dyDescent="0.25">
      <c r="A313" s="407"/>
      <c r="B313" s="390" t="s">
        <v>681</v>
      </c>
      <c r="C313" s="162">
        <f t="shared" si="68"/>
        <v>0</v>
      </c>
      <c r="D313" s="172"/>
      <c r="E313" s="172"/>
      <c r="F313" s="172"/>
      <c r="G313" s="172"/>
      <c r="H313" s="172"/>
      <c r="I313" s="162">
        <f t="shared" si="67"/>
        <v>30</v>
      </c>
      <c r="J313" s="389"/>
      <c r="K313" s="389"/>
      <c r="L313" s="389">
        <v>30</v>
      </c>
      <c r="M313" s="392"/>
      <c r="N313" s="389"/>
      <c r="O313" s="162">
        <f t="shared" si="66"/>
        <v>30</v>
      </c>
      <c r="P313" s="392"/>
      <c r="Q313" s="392"/>
      <c r="R313" s="403">
        <v>30</v>
      </c>
      <c r="S313" s="392"/>
      <c r="T313" s="392"/>
    </row>
    <row r="314" spans="1:20" ht="31.5" x14ac:dyDescent="0.25">
      <c r="A314" s="407"/>
      <c r="B314" s="390" t="s">
        <v>682</v>
      </c>
      <c r="C314" s="162">
        <f t="shared" si="68"/>
        <v>25</v>
      </c>
      <c r="D314" s="170"/>
      <c r="E314" s="170"/>
      <c r="F314" s="170">
        <v>25</v>
      </c>
      <c r="G314" s="170"/>
      <c r="H314" s="170"/>
      <c r="I314" s="162">
        <f t="shared" si="67"/>
        <v>25</v>
      </c>
      <c r="J314" s="389"/>
      <c r="K314" s="389"/>
      <c r="L314" s="389">
        <v>25</v>
      </c>
      <c r="M314" s="392"/>
      <c r="N314" s="389"/>
      <c r="O314" s="162">
        <f t="shared" si="66"/>
        <v>25</v>
      </c>
      <c r="P314" s="392"/>
      <c r="Q314" s="392"/>
      <c r="R314" s="394">
        <v>25</v>
      </c>
      <c r="S314" s="392"/>
      <c r="T314" s="392"/>
    </row>
    <row r="315" spans="1:20" ht="83.25" customHeight="1" x14ac:dyDescent="0.25">
      <c r="A315" s="407"/>
      <c r="B315" s="382" t="s">
        <v>683</v>
      </c>
      <c r="C315" s="162">
        <f t="shared" si="68"/>
        <v>600</v>
      </c>
      <c r="D315" s="172">
        <f>SUM(D316)</f>
        <v>0</v>
      </c>
      <c r="E315" s="172">
        <f>SUM(E316)</f>
        <v>0</v>
      </c>
      <c r="F315" s="172">
        <f>SUM(F316)</f>
        <v>600</v>
      </c>
      <c r="G315" s="172"/>
      <c r="H315" s="172">
        <f>SUM(H316)</f>
        <v>0</v>
      </c>
      <c r="I315" s="162">
        <f t="shared" si="67"/>
        <v>600</v>
      </c>
      <c r="J315" s="200">
        <f>SUM(J316)</f>
        <v>0</v>
      </c>
      <c r="K315" s="200">
        <f>SUM(K316)</f>
        <v>0</v>
      </c>
      <c r="L315" s="200">
        <f>SUM(L316)</f>
        <v>600</v>
      </c>
      <c r="M315" s="392"/>
      <c r="N315" s="200">
        <f>SUM(N316)</f>
        <v>0</v>
      </c>
      <c r="O315" s="162">
        <f t="shared" si="66"/>
        <v>600</v>
      </c>
      <c r="P315" s="200">
        <f>SUM(P316)</f>
        <v>0</v>
      </c>
      <c r="Q315" s="200">
        <f>SUM(Q316)</f>
        <v>0</v>
      </c>
      <c r="R315" s="200">
        <f>SUM(R316)</f>
        <v>600</v>
      </c>
      <c r="S315" s="392"/>
      <c r="T315" s="200">
        <f>SUM(T316)</f>
        <v>0</v>
      </c>
    </row>
    <row r="316" spans="1:20" ht="63" x14ac:dyDescent="0.25">
      <c r="A316" s="407"/>
      <c r="B316" s="425" t="s">
        <v>684</v>
      </c>
      <c r="C316" s="162">
        <f t="shared" si="68"/>
        <v>600</v>
      </c>
      <c r="D316" s="223"/>
      <c r="E316" s="223"/>
      <c r="F316" s="223">
        <v>600</v>
      </c>
      <c r="G316" s="223"/>
      <c r="H316" s="223"/>
      <c r="I316" s="162">
        <f t="shared" si="67"/>
        <v>600</v>
      </c>
      <c r="J316" s="389"/>
      <c r="K316" s="389"/>
      <c r="L316" s="389">
        <v>600</v>
      </c>
      <c r="M316" s="392"/>
      <c r="N316" s="389"/>
      <c r="O316" s="162">
        <f t="shared" si="66"/>
        <v>600</v>
      </c>
      <c r="P316" s="392"/>
      <c r="Q316" s="392"/>
      <c r="R316" s="392">
        <v>600</v>
      </c>
      <c r="S316" s="392"/>
      <c r="T316" s="392"/>
    </row>
    <row r="317" spans="1:20" ht="49.5" customHeight="1" x14ac:dyDescent="0.25">
      <c r="A317" s="407"/>
      <c r="B317" s="382" t="s">
        <v>685</v>
      </c>
      <c r="C317" s="162">
        <f t="shared" si="68"/>
        <v>80932.897000000012</v>
      </c>
      <c r="D317" s="200">
        <f>D318+D323</f>
        <v>0</v>
      </c>
      <c r="E317" s="200">
        <f>E318+E323</f>
        <v>0</v>
      </c>
      <c r="F317" s="200">
        <f>F318+F323</f>
        <v>80932.897000000012</v>
      </c>
      <c r="G317" s="200"/>
      <c r="H317" s="200">
        <f>H318+H323</f>
        <v>0</v>
      </c>
      <c r="I317" s="162">
        <f t="shared" si="67"/>
        <v>79660.952570000009</v>
      </c>
      <c r="J317" s="200">
        <f>J318+J323</f>
        <v>0</v>
      </c>
      <c r="K317" s="200">
        <f>K318+K323</f>
        <v>240.4</v>
      </c>
      <c r="L317" s="200">
        <f>L318+L323</f>
        <v>79370.552570000014</v>
      </c>
      <c r="M317" s="392"/>
      <c r="N317" s="200">
        <f>N318+N323</f>
        <v>50</v>
      </c>
      <c r="O317" s="162">
        <f t="shared" si="66"/>
        <v>79610.952570000009</v>
      </c>
      <c r="P317" s="200">
        <f>P318+P323</f>
        <v>0</v>
      </c>
      <c r="Q317" s="200">
        <f>Q318+Q323</f>
        <v>240.4</v>
      </c>
      <c r="R317" s="200">
        <f>R318+R323</f>
        <v>79370.552570000014</v>
      </c>
      <c r="S317" s="392"/>
      <c r="T317" s="200">
        <f>T318+T323</f>
        <v>0</v>
      </c>
    </row>
    <row r="318" spans="1:20" ht="47.25" x14ac:dyDescent="0.25">
      <c r="A318" s="407"/>
      <c r="B318" s="382" t="s">
        <v>686</v>
      </c>
      <c r="C318" s="162">
        <f t="shared" si="68"/>
        <v>79502.897000000012</v>
      </c>
      <c r="D318" s="172">
        <f>SUM(D319:D322)</f>
        <v>0</v>
      </c>
      <c r="E318" s="172">
        <f>SUM(E319:E322)</f>
        <v>0</v>
      </c>
      <c r="F318" s="172">
        <f>SUM(F319:F322)</f>
        <v>79502.897000000012</v>
      </c>
      <c r="G318" s="172"/>
      <c r="H318" s="172">
        <f>SUM(H319:H322)</f>
        <v>0</v>
      </c>
      <c r="I318" s="162">
        <f t="shared" si="67"/>
        <v>78291.780570000003</v>
      </c>
      <c r="J318" s="200">
        <f>SUM(J319:J322)</f>
        <v>0</v>
      </c>
      <c r="K318" s="200">
        <f>SUM(K319:K322)</f>
        <v>240.4</v>
      </c>
      <c r="L318" s="200">
        <f>SUM(L319:L322)</f>
        <v>78001.380570000008</v>
      </c>
      <c r="M318" s="392"/>
      <c r="N318" s="200">
        <f>SUM(N319:N322)</f>
        <v>50</v>
      </c>
      <c r="O318" s="162">
        <f t="shared" si="66"/>
        <v>78241.780570000003</v>
      </c>
      <c r="P318" s="200">
        <f>SUM(P319:P322)</f>
        <v>0</v>
      </c>
      <c r="Q318" s="200">
        <f>SUM(Q319:Q322)</f>
        <v>240.4</v>
      </c>
      <c r="R318" s="200">
        <f>SUM(R319:R322)</f>
        <v>78001.380570000008</v>
      </c>
      <c r="S318" s="392"/>
      <c r="T318" s="200">
        <f>SUM(T319:T322)</f>
        <v>0</v>
      </c>
    </row>
    <row r="319" spans="1:20" ht="47.25" x14ac:dyDescent="0.25">
      <c r="A319" s="407"/>
      <c r="B319" s="390" t="s">
        <v>663</v>
      </c>
      <c r="C319" s="162">
        <f t="shared" si="68"/>
        <v>78698.017000000007</v>
      </c>
      <c r="D319" s="223"/>
      <c r="E319" s="223"/>
      <c r="F319" s="223">
        <v>78698.017000000007</v>
      </c>
      <c r="G319" s="223"/>
      <c r="H319" s="223"/>
      <c r="I319" s="162">
        <f t="shared" si="67"/>
        <v>77417.723840000006</v>
      </c>
      <c r="J319" s="389"/>
      <c r="K319" s="389"/>
      <c r="L319" s="389">
        <f>77367.72384</f>
        <v>77367.723840000006</v>
      </c>
      <c r="M319" s="392"/>
      <c r="N319" s="389">
        <v>50</v>
      </c>
      <c r="O319" s="162">
        <f t="shared" si="66"/>
        <v>77367.723840000006</v>
      </c>
      <c r="P319" s="392"/>
      <c r="Q319" s="392"/>
      <c r="R319" s="402">
        <f>77367.72384</f>
        <v>77367.723840000006</v>
      </c>
      <c r="S319" s="392"/>
      <c r="T319" s="392">
        <v>0</v>
      </c>
    </row>
    <row r="320" spans="1:20" ht="47.25" x14ac:dyDescent="0.25">
      <c r="A320" s="407"/>
      <c r="B320" s="390" t="s">
        <v>668</v>
      </c>
      <c r="C320" s="162">
        <f t="shared" si="68"/>
        <v>404.88</v>
      </c>
      <c r="D320" s="223"/>
      <c r="E320" s="223"/>
      <c r="F320" s="223">
        <v>404.88</v>
      </c>
      <c r="G320" s="223"/>
      <c r="H320" s="223"/>
      <c r="I320" s="162">
        <f t="shared" si="67"/>
        <v>460.38</v>
      </c>
      <c r="J320" s="389"/>
      <c r="K320" s="389"/>
      <c r="L320" s="389">
        <v>460.38</v>
      </c>
      <c r="M320" s="392"/>
      <c r="N320" s="389"/>
      <c r="O320" s="162">
        <f t="shared" si="66"/>
        <v>460.38</v>
      </c>
      <c r="P320" s="392"/>
      <c r="Q320" s="392"/>
      <c r="R320" s="402">
        <v>460.38</v>
      </c>
      <c r="S320" s="392"/>
      <c r="T320" s="392"/>
    </row>
    <row r="321" spans="1:20" ht="104.25" customHeight="1" x14ac:dyDescent="0.25">
      <c r="A321" s="407"/>
      <c r="B321" s="390" t="s">
        <v>671</v>
      </c>
      <c r="C321" s="162">
        <f t="shared" si="68"/>
        <v>0</v>
      </c>
      <c r="D321" s="223"/>
      <c r="E321" s="223"/>
      <c r="F321" s="223"/>
      <c r="G321" s="223"/>
      <c r="H321" s="223"/>
      <c r="I321" s="162">
        <f t="shared" si="67"/>
        <v>263.88</v>
      </c>
      <c r="J321" s="389"/>
      <c r="K321" s="389">
        <v>240.4</v>
      </c>
      <c r="L321" s="389">
        <v>23.48</v>
      </c>
      <c r="M321" s="392"/>
      <c r="N321" s="389"/>
      <c r="O321" s="162">
        <f t="shared" si="66"/>
        <v>263.88</v>
      </c>
      <c r="P321" s="392"/>
      <c r="Q321" s="392">
        <v>240.4</v>
      </c>
      <c r="R321" s="402">
        <v>23.48</v>
      </c>
      <c r="S321" s="392"/>
      <c r="T321" s="392"/>
    </row>
    <row r="322" spans="1:20" x14ac:dyDescent="0.25">
      <c r="A322" s="407"/>
      <c r="B322" s="390" t="s">
        <v>687</v>
      </c>
      <c r="C322" s="162">
        <f t="shared" si="68"/>
        <v>400</v>
      </c>
      <c r="D322" s="223"/>
      <c r="E322" s="223"/>
      <c r="F322" s="223">
        <v>400</v>
      </c>
      <c r="G322" s="223"/>
      <c r="H322" s="223"/>
      <c r="I322" s="162">
        <f t="shared" si="67"/>
        <v>149.79673</v>
      </c>
      <c r="J322" s="389"/>
      <c r="K322" s="389"/>
      <c r="L322" s="389">
        <v>149.79673</v>
      </c>
      <c r="M322" s="392"/>
      <c r="N322" s="389"/>
      <c r="O322" s="162">
        <f t="shared" si="66"/>
        <v>149.79673</v>
      </c>
      <c r="P322" s="392"/>
      <c r="Q322" s="392"/>
      <c r="R322" s="402">
        <v>149.79673</v>
      </c>
      <c r="S322" s="392"/>
      <c r="T322" s="392"/>
    </row>
    <row r="323" spans="1:20" ht="63" x14ac:dyDescent="0.25">
      <c r="A323" s="407"/>
      <c r="B323" s="382" t="s">
        <v>688</v>
      </c>
      <c r="C323" s="162">
        <f t="shared" si="68"/>
        <v>1430</v>
      </c>
      <c r="D323" s="172">
        <f>SUM(D324:D335)</f>
        <v>0</v>
      </c>
      <c r="E323" s="172">
        <f>SUM(E324:E335)</f>
        <v>0</v>
      </c>
      <c r="F323" s="172">
        <f>SUM(F324:F335)</f>
        <v>1430</v>
      </c>
      <c r="G323" s="172"/>
      <c r="H323" s="172">
        <f>SUM(H324:H335)</f>
        <v>0</v>
      </c>
      <c r="I323" s="162">
        <f t="shared" si="67"/>
        <v>1369.172</v>
      </c>
      <c r="J323" s="200">
        <f>SUM(J324:J335)</f>
        <v>0</v>
      </c>
      <c r="K323" s="200">
        <f>SUM(K324:K335)</f>
        <v>0</v>
      </c>
      <c r="L323" s="200">
        <f>SUM(L324:L335)</f>
        <v>1369.172</v>
      </c>
      <c r="M323" s="392"/>
      <c r="N323" s="200">
        <f>SUM(N324:N335)</f>
        <v>0</v>
      </c>
      <c r="O323" s="162">
        <f t="shared" si="66"/>
        <v>1369.172</v>
      </c>
      <c r="P323" s="200">
        <f>SUM(P324:P335)</f>
        <v>0</v>
      </c>
      <c r="Q323" s="200">
        <f>SUM(Q324:Q335)</f>
        <v>0</v>
      </c>
      <c r="R323" s="200">
        <f>SUM(R324:R335)</f>
        <v>1369.172</v>
      </c>
      <c r="S323" s="392"/>
      <c r="T323" s="200">
        <f>SUM(T324:T335)</f>
        <v>0</v>
      </c>
    </row>
    <row r="324" spans="1:20" ht="47.25" x14ac:dyDescent="0.25">
      <c r="A324" s="407"/>
      <c r="B324" s="390" t="s">
        <v>689</v>
      </c>
      <c r="C324" s="162">
        <f t="shared" si="68"/>
        <v>160</v>
      </c>
      <c r="D324" s="223"/>
      <c r="E324" s="223"/>
      <c r="F324" s="223">
        <v>160</v>
      </c>
      <c r="G324" s="223"/>
      <c r="H324" s="223"/>
      <c r="I324" s="162">
        <f t="shared" si="67"/>
        <v>101.25</v>
      </c>
      <c r="J324" s="389"/>
      <c r="K324" s="389"/>
      <c r="L324" s="389">
        <v>101.25</v>
      </c>
      <c r="M324" s="392"/>
      <c r="N324" s="389"/>
      <c r="O324" s="162">
        <f t="shared" si="66"/>
        <v>101.25</v>
      </c>
      <c r="P324" s="392"/>
      <c r="Q324" s="392"/>
      <c r="R324" s="404">
        <v>101.25</v>
      </c>
      <c r="S324" s="392"/>
      <c r="T324" s="392"/>
    </row>
    <row r="325" spans="1:20" x14ac:dyDescent="0.25">
      <c r="A325" s="407"/>
      <c r="B325" s="390" t="s">
        <v>690</v>
      </c>
      <c r="C325" s="162">
        <f t="shared" si="68"/>
        <v>0</v>
      </c>
      <c r="D325" s="170"/>
      <c r="E325" s="170"/>
      <c r="F325" s="170"/>
      <c r="G325" s="170"/>
      <c r="H325" s="170"/>
      <c r="I325" s="162">
        <f t="shared" si="67"/>
        <v>30.5</v>
      </c>
      <c r="J325" s="389"/>
      <c r="K325" s="389"/>
      <c r="L325" s="389">
        <v>30.5</v>
      </c>
      <c r="M325" s="392"/>
      <c r="N325" s="389"/>
      <c r="O325" s="162">
        <f t="shared" si="66"/>
        <v>30.5</v>
      </c>
      <c r="P325" s="392"/>
      <c r="Q325" s="392"/>
      <c r="R325" s="403">
        <v>30.5</v>
      </c>
      <c r="S325" s="392"/>
      <c r="T325" s="392"/>
    </row>
    <row r="326" spans="1:20" ht="49.5" customHeight="1" x14ac:dyDescent="0.25">
      <c r="A326" s="407"/>
      <c r="B326" s="390" t="s">
        <v>691</v>
      </c>
      <c r="C326" s="162">
        <f t="shared" si="68"/>
        <v>70</v>
      </c>
      <c r="D326" s="170"/>
      <c r="E326" s="170"/>
      <c r="F326" s="170">
        <v>70</v>
      </c>
      <c r="G326" s="170"/>
      <c r="H326" s="170"/>
      <c r="I326" s="162">
        <f t="shared" si="67"/>
        <v>70</v>
      </c>
      <c r="J326" s="389"/>
      <c r="K326" s="389"/>
      <c r="L326" s="389">
        <f>51+17+2</f>
        <v>70</v>
      </c>
      <c r="M326" s="392"/>
      <c r="N326" s="389"/>
      <c r="O326" s="162">
        <f t="shared" si="66"/>
        <v>70</v>
      </c>
      <c r="P326" s="392"/>
      <c r="Q326" s="392"/>
      <c r="R326" s="394">
        <v>70</v>
      </c>
      <c r="S326" s="392"/>
      <c r="T326" s="392"/>
    </row>
    <row r="327" spans="1:20" ht="31.5" x14ac:dyDescent="0.25">
      <c r="A327" s="407"/>
      <c r="B327" s="390" t="s">
        <v>692</v>
      </c>
      <c r="C327" s="162">
        <f t="shared" si="68"/>
        <v>20</v>
      </c>
      <c r="D327" s="170"/>
      <c r="E327" s="170"/>
      <c r="F327" s="170">
        <v>20</v>
      </c>
      <c r="G327" s="170"/>
      <c r="H327" s="170"/>
      <c r="I327" s="162">
        <f t="shared" si="67"/>
        <v>20</v>
      </c>
      <c r="J327" s="389"/>
      <c r="K327" s="389"/>
      <c r="L327" s="389">
        <v>20</v>
      </c>
      <c r="M327" s="392"/>
      <c r="N327" s="389"/>
      <c r="O327" s="162">
        <f t="shared" si="66"/>
        <v>20</v>
      </c>
      <c r="P327" s="392"/>
      <c r="Q327" s="392"/>
      <c r="R327" s="394">
        <v>20</v>
      </c>
      <c r="S327" s="392"/>
      <c r="T327" s="392"/>
    </row>
    <row r="328" spans="1:20" ht="47.25" x14ac:dyDescent="0.25">
      <c r="A328" s="407"/>
      <c r="B328" s="390" t="s">
        <v>693</v>
      </c>
      <c r="C328" s="162">
        <f t="shared" si="68"/>
        <v>30</v>
      </c>
      <c r="D328" s="170"/>
      <c r="E328" s="170"/>
      <c r="F328" s="170">
        <v>30</v>
      </c>
      <c r="G328" s="170"/>
      <c r="H328" s="170"/>
      <c r="I328" s="162">
        <f t="shared" si="67"/>
        <v>30</v>
      </c>
      <c r="J328" s="389"/>
      <c r="K328" s="389"/>
      <c r="L328" s="389">
        <v>30</v>
      </c>
      <c r="M328" s="392"/>
      <c r="N328" s="389"/>
      <c r="O328" s="162">
        <f t="shared" si="66"/>
        <v>30</v>
      </c>
      <c r="P328" s="392"/>
      <c r="Q328" s="392"/>
      <c r="R328" s="394">
        <v>30</v>
      </c>
      <c r="S328" s="392"/>
      <c r="T328" s="392"/>
    </row>
    <row r="329" spans="1:20" ht="120.75" customHeight="1" x14ac:dyDescent="0.25">
      <c r="A329" s="407"/>
      <c r="B329" s="391" t="s">
        <v>694</v>
      </c>
      <c r="C329" s="162">
        <f t="shared" si="68"/>
        <v>220</v>
      </c>
      <c r="D329" s="389"/>
      <c r="E329" s="389"/>
      <c r="F329" s="389">
        <v>220</v>
      </c>
      <c r="G329" s="389"/>
      <c r="H329" s="389"/>
      <c r="I329" s="162">
        <f t="shared" si="67"/>
        <v>189.5</v>
      </c>
      <c r="J329" s="389"/>
      <c r="K329" s="389"/>
      <c r="L329" s="389">
        <v>189.5</v>
      </c>
      <c r="M329" s="392"/>
      <c r="N329" s="389"/>
      <c r="O329" s="162">
        <f t="shared" si="66"/>
        <v>189.5</v>
      </c>
      <c r="P329" s="392"/>
      <c r="Q329" s="392"/>
      <c r="R329" s="402">
        <v>189.5</v>
      </c>
      <c r="S329" s="392"/>
      <c r="T329" s="392"/>
    </row>
    <row r="330" spans="1:20" ht="31.5" x14ac:dyDescent="0.25">
      <c r="A330" s="407"/>
      <c r="B330" s="390" t="s">
        <v>695</v>
      </c>
      <c r="C330" s="162">
        <f t="shared" si="68"/>
        <v>100</v>
      </c>
      <c r="D330" s="389"/>
      <c r="E330" s="389"/>
      <c r="F330" s="389">
        <v>100</v>
      </c>
      <c r="G330" s="389"/>
      <c r="H330" s="389"/>
      <c r="I330" s="162">
        <f t="shared" si="67"/>
        <v>100</v>
      </c>
      <c r="J330" s="389"/>
      <c r="K330" s="389"/>
      <c r="L330" s="389">
        <v>100</v>
      </c>
      <c r="M330" s="392"/>
      <c r="N330" s="389"/>
      <c r="O330" s="162">
        <f t="shared" si="66"/>
        <v>100</v>
      </c>
      <c r="P330" s="392"/>
      <c r="Q330" s="392"/>
      <c r="R330" s="402">
        <v>100</v>
      </c>
      <c r="S330" s="392"/>
      <c r="T330" s="392"/>
    </row>
    <row r="331" spans="1:20" ht="47.25" x14ac:dyDescent="0.25">
      <c r="A331" s="407"/>
      <c r="B331" s="390" t="s">
        <v>696</v>
      </c>
      <c r="C331" s="162">
        <f t="shared" si="68"/>
        <v>250</v>
      </c>
      <c r="D331" s="389"/>
      <c r="E331" s="389"/>
      <c r="F331" s="389">
        <v>250</v>
      </c>
      <c r="G331" s="389"/>
      <c r="H331" s="389"/>
      <c r="I331" s="162">
        <f t="shared" si="67"/>
        <v>250</v>
      </c>
      <c r="J331" s="389"/>
      <c r="K331" s="389"/>
      <c r="L331" s="389">
        <v>250</v>
      </c>
      <c r="M331" s="392"/>
      <c r="N331" s="389"/>
      <c r="O331" s="162">
        <f t="shared" si="66"/>
        <v>250</v>
      </c>
      <c r="P331" s="392"/>
      <c r="Q331" s="392"/>
      <c r="R331" s="402">
        <v>250</v>
      </c>
      <c r="S331" s="392"/>
      <c r="T331" s="392"/>
    </row>
    <row r="332" spans="1:20" ht="63" x14ac:dyDescent="0.25">
      <c r="A332" s="407"/>
      <c r="B332" s="391" t="s">
        <v>697</v>
      </c>
      <c r="C332" s="162">
        <f t="shared" si="68"/>
        <v>60</v>
      </c>
      <c r="D332" s="389"/>
      <c r="E332" s="389"/>
      <c r="F332" s="389">
        <v>60</v>
      </c>
      <c r="G332" s="389"/>
      <c r="H332" s="389"/>
      <c r="I332" s="162">
        <f t="shared" si="67"/>
        <v>60</v>
      </c>
      <c r="J332" s="389"/>
      <c r="K332" s="389"/>
      <c r="L332" s="389">
        <v>60</v>
      </c>
      <c r="M332" s="392"/>
      <c r="N332" s="389"/>
      <c r="O332" s="162">
        <f t="shared" si="66"/>
        <v>60</v>
      </c>
      <c r="P332" s="392"/>
      <c r="Q332" s="392"/>
      <c r="R332" s="402">
        <v>60</v>
      </c>
      <c r="S332" s="392"/>
      <c r="T332" s="392"/>
    </row>
    <row r="333" spans="1:20" ht="47.25" x14ac:dyDescent="0.25">
      <c r="A333" s="407"/>
      <c r="B333" s="391" t="s">
        <v>698</v>
      </c>
      <c r="C333" s="162">
        <f t="shared" si="68"/>
        <v>20</v>
      </c>
      <c r="D333" s="170"/>
      <c r="E333" s="170"/>
      <c r="F333" s="170">
        <v>20</v>
      </c>
      <c r="G333" s="170"/>
      <c r="H333" s="170"/>
      <c r="I333" s="162">
        <f t="shared" si="67"/>
        <v>20</v>
      </c>
      <c r="J333" s="389"/>
      <c r="K333" s="389"/>
      <c r="L333" s="389">
        <v>20</v>
      </c>
      <c r="M333" s="392"/>
      <c r="N333" s="389"/>
      <c r="O333" s="162">
        <f t="shared" si="66"/>
        <v>20</v>
      </c>
      <c r="P333" s="389"/>
      <c r="Q333" s="389"/>
      <c r="R333" s="403">
        <v>20</v>
      </c>
      <c r="S333" s="392"/>
      <c r="T333" s="389"/>
    </row>
    <row r="334" spans="1:20" ht="47.25" x14ac:dyDescent="0.25">
      <c r="A334" s="407"/>
      <c r="B334" s="391" t="s">
        <v>699</v>
      </c>
      <c r="C334" s="162">
        <f t="shared" si="68"/>
        <v>20</v>
      </c>
      <c r="D334" s="170"/>
      <c r="E334" s="170"/>
      <c r="F334" s="170">
        <v>20</v>
      </c>
      <c r="G334" s="170"/>
      <c r="H334" s="170"/>
      <c r="I334" s="162">
        <f t="shared" si="67"/>
        <v>20</v>
      </c>
      <c r="J334" s="389"/>
      <c r="K334" s="389"/>
      <c r="L334" s="389">
        <v>20</v>
      </c>
      <c r="M334" s="392"/>
      <c r="N334" s="389"/>
      <c r="O334" s="162">
        <f t="shared" si="66"/>
        <v>20</v>
      </c>
      <c r="P334" s="389"/>
      <c r="Q334" s="389"/>
      <c r="R334" s="403">
        <v>20</v>
      </c>
      <c r="S334" s="392"/>
      <c r="T334" s="389"/>
    </row>
    <row r="335" spans="1:20" ht="47.25" x14ac:dyDescent="0.25">
      <c r="A335" s="407"/>
      <c r="B335" s="391" t="s">
        <v>700</v>
      </c>
      <c r="C335" s="162">
        <f t="shared" si="68"/>
        <v>480</v>
      </c>
      <c r="D335" s="223"/>
      <c r="E335" s="223"/>
      <c r="F335" s="223">
        <v>480</v>
      </c>
      <c r="G335" s="223"/>
      <c r="H335" s="223"/>
      <c r="I335" s="162">
        <f t="shared" si="67"/>
        <v>477.92200000000003</v>
      </c>
      <c r="J335" s="389"/>
      <c r="K335" s="389"/>
      <c r="L335" s="389">
        <v>477.92200000000003</v>
      </c>
      <c r="M335" s="392"/>
      <c r="N335" s="389"/>
      <c r="O335" s="162">
        <f t="shared" si="66"/>
        <v>477.92200000000003</v>
      </c>
      <c r="P335" s="392"/>
      <c r="Q335" s="392"/>
      <c r="R335" s="402">
        <v>477.92200000000003</v>
      </c>
      <c r="S335" s="392"/>
      <c r="T335" s="392"/>
    </row>
    <row r="336" spans="1:20" ht="47.25" x14ac:dyDescent="0.25">
      <c r="A336" s="407"/>
      <c r="B336" s="382" t="s">
        <v>701</v>
      </c>
      <c r="C336" s="162">
        <f t="shared" si="68"/>
        <v>6979.2</v>
      </c>
      <c r="D336" s="200">
        <f>D337+D340+D341+D342</f>
        <v>0</v>
      </c>
      <c r="E336" s="200">
        <f>E337+E340+E341+E342</f>
        <v>6379.2</v>
      </c>
      <c r="F336" s="200">
        <f>F337+F340+F341+F342</f>
        <v>500</v>
      </c>
      <c r="G336" s="200"/>
      <c r="H336" s="200">
        <f>H337+H340+H341+H342</f>
        <v>100</v>
      </c>
      <c r="I336" s="162">
        <f t="shared" si="67"/>
        <v>7639.6370000000006</v>
      </c>
      <c r="J336" s="200">
        <f>J337+J340+J341+J342</f>
        <v>0</v>
      </c>
      <c r="K336" s="200">
        <f>K337+K340+K341+K342</f>
        <v>6829.09</v>
      </c>
      <c r="L336" s="200">
        <f>L337+L340+L341+L342</f>
        <v>790.54700000000003</v>
      </c>
      <c r="M336" s="392"/>
      <c r="N336" s="200">
        <f>N337+N340+N341+N342</f>
        <v>20</v>
      </c>
      <c r="O336" s="162">
        <f t="shared" si="66"/>
        <v>7115.76</v>
      </c>
      <c r="P336" s="200">
        <f>P337+P340+P341+P342</f>
        <v>0</v>
      </c>
      <c r="Q336" s="200">
        <f>Q337+Q340+Q341+Q342</f>
        <v>6305.21</v>
      </c>
      <c r="R336" s="200">
        <f>R337+R340+R341+R342</f>
        <v>790.55000000000007</v>
      </c>
      <c r="S336" s="392"/>
      <c r="T336" s="200">
        <f>T337+T340+T341+T342</f>
        <v>20</v>
      </c>
    </row>
    <row r="337" spans="1:20" ht="63" x14ac:dyDescent="0.25">
      <c r="A337" s="407"/>
      <c r="B337" s="382" t="s">
        <v>702</v>
      </c>
      <c r="C337" s="162">
        <f t="shared" si="68"/>
        <v>600</v>
      </c>
      <c r="D337" s="172">
        <f>SUM(D338:D339)</f>
        <v>0</v>
      </c>
      <c r="E337" s="172">
        <f>SUM(E338:E339)</f>
        <v>0</v>
      </c>
      <c r="F337" s="172">
        <f>SUM(F338:F339)</f>
        <v>500</v>
      </c>
      <c r="G337" s="172"/>
      <c r="H337" s="172">
        <f>SUM(H338:H339)</f>
        <v>100</v>
      </c>
      <c r="I337" s="162">
        <f t="shared" si="67"/>
        <v>810.54700000000003</v>
      </c>
      <c r="J337" s="200">
        <f>SUM(J338:J339)</f>
        <v>0</v>
      </c>
      <c r="K337" s="200">
        <f>SUM(K338:K339)</f>
        <v>0</v>
      </c>
      <c r="L337" s="200">
        <f>SUM(L338:L339)</f>
        <v>790.54700000000003</v>
      </c>
      <c r="M337" s="392"/>
      <c r="N337" s="200">
        <f>SUM(N338:N339)</f>
        <v>20</v>
      </c>
      <c r="O337" s="162">
        <f t="shared" si="66"/>
        <v>810.55000000000007</v>
      </c>
      <c r="P337" s="200">
        <f>SUM(P338:P339)</f>
        <v>0</v>
      </c>
      <c r="Q337" s="200">
        <f>SUM(Q338:Q339)</f>
        <v>0</v>
      </c>
      <c r="R337" s="200">
        <f>SUM(R338:R339)</f>
        <v>790.55000000000007</v>
      </c>
      <c r="S337" s="392"/>
      <c r="T337" s="200">
        <f>SUM(T338:T339)</f>
        <v>20</v>
      </c>
    </row>
    <row r="338" spans="1:20" ht="47.25" x14ac:dyDescent="0.25">
      <c r="A338" s="407"/>
      <c r="B338" s="390" t="s">
        <v>1407</v>
      </c>
      <c r="C338" s="162">
        <f t="shared" si="68"/>
        <v>200</v>
      </c>
      <c r="D338" s="170"/>
      <c r="E338" s="170"/>
      <c r="F338" s="170">
        <v>200</v>
      </c>
      <c r="G338" s="170"/>
      <c r="H338" s="170"/>
      <c r="I338" s="162">
        <f t="shared" si="67"/>
        <v>207.97900000000001</v>
      </c>
      <c r="J338" s="389"/>
      <c r="K338" s="389"/>
      <c r="L338" s="389">
        <f>2.72+76.4+128.859</f>
        <v>207.97900000000001</v>
      </c>
      <c r="M338" s="392"/>
      <c r="N338" s="389"/>
      <c r="O338" s="162">
        <f t="shared" si="66"/>
        <v>207.98</v>
      </c>
      <c r="P338" s="392"/>
      <c r="Q338" s="392"/>
      <c r="R338" s="392">
        <v>207.98</v>
      </c>
      <c r="S338" s="392"/>
      <c r="T338" s="392"/>
    </row>
    <row r="339" spans="1:20" ht="63" x14ac:dyDescent="0.25">
      <c r="A339" s="407"/>
      <c r="B339" s="425" t="s">
        <v>703</v>
      </c>
      <c r="C339" s="162">
        <f t="shared" si="68"/>
        <v>400</v>
      </c>
      <c r="D339" s="389"/>
      <c r="E339" s="389"/>
      <c r="F339" s="389">
        <v>300</v>
      </c>
      <c r="G339" s="389"/>
      <c r="H339" s="389">
        <v>100</v>
      </c>
      <c r="I339" s="162">
        <f t="shared" si="67"/>
        <v>602.56799999999998</v>
      </c>
      <c r="J339" s="389"/>
      <c r="K339" s="389"/>
      <c r="L339" s="389">
        <f>423.184+136.92+22.464</f>
        <v>582.56799999999998</v>
      </c>
      <c r="M339" s="392"/>
      <c r="N339" s="389">
        <v>20</v>
      </c>
      <c r="O339" s="162">
        <f t="shared" si="66"/>
        <v>602.57000000000005</v>
      </c>
      <c r="P339" s="392"/>
      <c r="Q339" s="392"/>
      <c r="R339" s="392">
        <v>582.57000000000005</v>
      </c>
      <c r="S339" s="392"/>
      <c r="T339" s="392">
        <v>20</v>
      </c>
    </row>
    <row r="340" spans="1:20" ht="63" x14ac:dyDescent="0.25">
      <c r="A340" s="407"/>
      <c r="B340" s="382" t="s">
        <v>704</v>
      </c>
      <c r="C340" s="162">
        <f t="shared" si="68"/>
        <v>0</v>
      </c>
      <c r="D340" s="172"/>
      <c r="E340" s="172"/>
      <c r="F340" s="172"/>
      <c r="G340" s="172"/>
      <c r="H340" s="172"/>
      <c r="I340" s="162">
        <f t="shared" si="67"/>
        <v>0</v>
      </c>
      <c r="J340" s="200"/>
      <c r="K340" s="200"/>
      <c r="L340" s="200"/>
      <c r="M340" s="392"/>
      <c r="N340" s="200"/>
      <c r="O340" s="162">
        <f t="shared" si="66"/>
        <v>0</v>
      </c>
      <c r="P340" s="200"/>
      <c r="Q340" s="200"/>
      <c r="R340" s="200"/>
      <c r="S340" s="392"/>
      <c r="T340" s="200"/>
    </row>
    <row r="341" spans="1:20" ht="31.5" x14ac:dyDescent="0.25">
      <c r="A341" s="407"/>
      <c r="B341" s="382" t="s">
        <v>705</v>
      </c>
      <c r="C341" s="162">
        <f t="shared" si="68"/>
        <v>0</v>
      </c>
      <c r="D341" s="172"/>
      <c r="E341" s="172"/>
      <c r="F341" s="172"/>
      <c r="G341" s="172"/>
      <c r="H341" s="172"/>
      <c r="I341" s="162">
        <f t="shared" si="67"/>
        <v>0</v>
      </c>
      <c r="J341" s="200"/>
      <c r="K341" s="200"/>
      <c r="L341" s="200"/>
      <c r="M341" s="392"/>
      <c r="N341" s="200"/>
      <c r="O341" s="162">
        <f t="shared" si="66"/>
        <v>0</v>
      </c>
      <c r="P341" s="200"/>
      <c r="Q341" s="200"/>
      <c r="R341" s="200"/>
      <c r="S341" s="392"/>
      <c r="T341" s="200"/>
    </row>
    <row r="342" spans="1:20" ht="31.5" x14ac:dyDescent="0.25">
      <c r="A342" s="407"/>
      <c r="B342" s="382" t="s">
        <v>706</v>
      </c>
      <c r="C342" s="162">
        <f t="shared" si="68"/>
        <v>6379.2</v>
      </c>
      <c r="D342" s="172">
        <f>SUM(D343)</f>
        <v>0</v>
      </c>
      <c r="E342" s="172">
        <f>SUM(E343)</f>
        <v>6379.2</v>
      </c>
      <c r="F342" s="172">
        <f>SUM(F343)</f>
        <v>0</v>
      </c>
      <c r="G342" s="172"/>
      <c r="H342" s="172">
        <f>SUM(H343)</f>
        <v>0</v>
      </c>
      <c r="I342" s="162">
        <f t="shared" si="67"/>
        <v>6829.09</v>
      </c>
      <c r="J342" s="200">
        <f>SUM(J343)</f>
        <v>0</v>
      </c>
      <c r="K342" s="200">
        <f>SUM(K343)</f>
        <v>6829.09</v>
      </c>
      <c r="L342" s="200">
        <f>SUM(L343)</f>
        <v>0</v>
      </c>
      <c r="M342" s="392"/>
      <c r="N342" s="200">
        <f>SUM(N343)</f>
        <v>0</v>
      </c>
      <c r="O342" s="162">
        <f t="shared" si="66"/>
        <v>6305.21</v>
      </c>
      <c r="P342" s="200">
        <f>SUM(P343)</f>
        <v>0</v>
      </c>
      <c r="Q342" s="200">
        <f>SUM(Q343)</f>
        <v>6305.21</v>
      </c>
      <c r="R342" s="200">
        <f>SUM(R343)</f>
        <v>0</v>
      </c>
      <c r="S342" s="392"/>
      <c r="T342" s="200">
        <f>SUM(T343)</f>
        <v>0</v>
      </c>
    </row>
    <row r="343" spans="1:20" ht="150.75" customHeight="1" x14ac:dyDescent="0.25">
      <c r="A343" s="407"/>
      <c r="B343" s="425" t="s">
        <v>707</v>
      </c>
      <c r="C343" s="162">
        <f t="shared" si="68"/>
        <v>6379.2</v>
      </c>
      <c r="D343" s="389"/>
      <c r="E343" s="389">
        <f>1569.6+4060.8+748.8</f>
        <v>6379.2</v>
      </c>
      <c r="F343" s="389"/>
      <c r="G343" s="389"/>
      <c r="H343" s="389"/>
      <c r="I343" s="162">
        <f t="shared" si="67"/>
        <v>6829.09</v>
      </c>
      <c r="J343" s="389"/>
      <c r="K343" s="389">
        <v>6829.09</v>
      </c>
      <c r="L343" s="389"/>
      <c r="M343" s="392"/>
      <c r="N343" s="389"/>
      <c r="O343" s="162">
        <f t="shared" si="66"/>
        <v>6305.21</v>
      </c>
      <c r="P343" s="392"/>
      <c r="Q343" s="392">
        <v>6305.21</v>
      </c>
      <c r="R343" s="392"/>
      <c r="S343" s="392"/>
      <c r="T343" s="392"/>
    </row>
    <row r="344" spans="1:20" x14ac:dyDescent="0.25">
      <c r="A344" s="407"/>
      <c r="B344" s="382" t="s">
        <v>708</v>
      </c>
      <c r="C344" s="162">
        <f t="shared" si="68"/>
        <v>7605</v>
      </c>
      <c r="D344" s="200">
        <f>D345+D348</f>
        <v>0</v>
      </c>
      <c r="E344" s="200">
        <f>E345+E348</f>
        <v>4334</v>
      </c>
      <c r="F344" s="200">
        <f>F345+F348</f>
        <v>3271</v>
      </c>
      <c r="G344" s="200"/>
      <c r="H344" s="200">
        <f>H345+H348</f>
        <v>0</v>
      </c>
      <c r="I344" s="162">
        <f t="shared" si="67"/>
        <v>3458.6456000000003</v>
      </c>
      <c r="J344" s="200">
        <f>J345+J348</f>
        <v>0</v>
      </c>
      <c r="K344" s="200">
        <f>K345+K348</f>
        <v>836.86559999999997</v>
      </c>
      <c r="L344" s="200">
        <f>L345+L348</f>
        <v>2621.78</v>
      </c>
      <c r="M344" s="392"/>
      <c r="N344" s="200">
        <f>N345+N348</f>
        <v>0</v>
      </c>
      <c r="O344" s="162">
        <f t="shared" si="66"/>
        <v>3458.6456000000003</v>
      </c>
      <c r="P344" s="200">
        <f>P345+P348</f>
        <v>0</v>
      </c>
      <c r="Q344" s="200">
        <f>Q345+Q348</f>
        <v>836.86559999999997</v>
      </c>
      <c r="R344" s="200">
        <f>R345+R348</f>
        <v>2621.78</v>
      </c>
      <c r="S344" s="392"/>
      <c r="T344" s="200">
        <f>T345+T348</f>
        <v>0</v>
      </c>
    </row>
    <row r="345" spans="1:20" ht="63" x14ac:dyDescent="0.25">
      <c r="A345" s="407"/>
      <c r="B345" s="382" t="s">
        <v>709</v>
      </c>
      <c r="C345" s="162">
        <f t="shared" si="68"/>
        <v>7405</v>
      </c>
      <c r="D345" s="200">
        <f>SUM(D346:D347)</f>
        <v>0</v>
      </c>
      <c r="E345" s="200">
        <f>SUM(E346:E347)</f>
        <v>4334</v>
      </c>
      <c r="F345" s="200">
        <f>SUM(F346:F347)</f>
        <v>3071</v>
      </c>
      <c r="G345" s="200"/>
      <c r="H345" s="200">
        <f>SUM(H346:H347)</f>
        <v>0</v>
      </c>
      <c r="I345" s="162">
        <f t="shared" si="67"/>
        <v>3258.6456000000003</v>
      </c>
      <c r="J345" s="200">
        <f>SUM(J346:J347)</f>
        <v>0</v>
      </c>
      <c r="K345" s="200">
        <f>SUM(K346:K347)</f>
        <v>836.86559999999997</v>
      </c>
      <c r="L345" s="200">
        <f>SUM(L346:L347)</f>
        <v>2421.7800000000002</v>
      </c>
      <c r="M345" s="392"/>
      <c r="N345" s="200">
        <f>SUM(N346:N347)</f>
        <v>0</v>
      </c>
      <c r="O345" s="162">
        <f t="shared" si="66"/>
        <v>3258.6456000000003</v>
      </c>
      <c r="P345" s="200">
        <f>SUM(P346:P347)</f>
        <v>0</v>
      </c>
      <c r="Q345" s="200">
        <f>SUM(Q346:Q347)</f>
        <v>836.86559999999997</v>
      </c>
      <c r="R345" s="200">
        <f>SUM(R346:R347)</f>
        <v>2421.7800000000002</v>
      </c>
      <c r="S345" s="392"/>
      <c r="T345" s="200">
        <f>SUM(T346:T347)</f>
        <v>0</v>
      </c>
    </row>
    <row r="346" spans="1:20" ht="78.75" x14ac:dyDescent="0.25">
      <c r="A346" s="407"/>
      <c r="B346" s="390" t="s">
        <v>710</v>
      </c>
      <c r="C346" s="162">
        <f t="shared" si="68"/>
        <v>3071</v>
      </c>
      <c r="D346" s="389"/>
      <c r="E346" s="389"/>
      <c r="F346" s="389">
        <v>3071</v>
      </c>
      <c r="G346" s="389"/>
      <c r="H346" s="389"/>
      <c r="I346" s="162">
        <f t="shared" si="67"/>
        <v>2421.7800000000002</v>
      </c>
      <c r="J346" s="389"/>
      <c r="K346" s="389"/>
      <c r="L346" s="389">
        <v>2421.7800000000002</v>
      </c>
      <c r="M346" s="392"/>
      <c r="N346" s="389"/>
      <c r="O346" s="162">
        <f t="shared" si="66"/>
        <v>2421.7800000000002</v>
      </c>
      <c r="P346" s="392"/>
      <c r="Q346" s="392"/>
      <c r="R346" s="392">
        <v>2421.7800000000002</v>
      </c>
      <c r="S346" s="392"/>
      <c r="T346" s="392"/>
    </row>
    <row r="347" spans="1:20" ht="31.5" x14ac:dyDescent="0.25">
      <c r="A347" s="407"/>
      <c r="B347" s="390" t="s">
        <v>711</v>
      </c>
      <c r="C347" s="162">
        <f t="shared" si="68"/>
        <v>4334</v>
      </c>
      <c r="D347" s="389"/>
      <c r="E347" s="389">
        <v>4334</v>
      </c>
      <c r="F347" s="389"/>
      <c r="G347" s="389"/>
      <c r="H347" s="389"/>
      <c r="I347" s="162">
        <f t="shared" si="67"/>
        <v>836.86559999999997</v>
      </c>
      <c r="J347" s="389"/>
      <c r="K347" s="389">
        <v>836.86559999999997</v>
      </c>
      <c r="L347" s="389"/>
      <c r="M347" s="392"/>
      <c r="N347" s="389"/>
      <c r="O347" s="162">
        <f t="shared" si="66"/>
        <v>836.86559999999997</v>
      </c>
      <c r="P347" s="392"/>
      <c r="Q347" s="392">
        <v>836.86559999999997</v>
      </c>
      <c r="R347" s="392"/>
      <c r="S347" s="392"/>
      <c r="T347" s="392"/>
    </row>
    <row r="348" spans="1:20" ht="63" x14ac:dyDescent="0.25">
      <c r="A348" s="407"/>
      <c r="B348" s="382" t="s">
        <v>712</v>
      </c>
      <c r="C348" s="162">
        <f t="shared" si="68"/>
        <v>200</v>
      </c>
      <c r="D348" s="200">
        <f>SUM(D349)</f>
        <v>0</v>
      </c>
      <c r="E348" s="200">
        <f>SUM(E349)</f>
        <v>0</v>
      </c>
      <c r="F348" s="200">
        <f>SUM(F349)</f>
        <v>200</v>
      </c>
      <c r="G348" s="200"/>
      <c r="H348" s="200">
        <f>SUM(H349)</f>
        <v>0</v>
      </c>
      <c r="I348" s="162">
        <f t="shared" si="67"/>
        <v>200</v>
      </c>
      <c r="J348" s="200">
        <f>SUM(J349)</f>
        <v>0</v>
      </c>
      <c r="K348" s="200">
        <f>SUM(K349)</f>
        <v>0</v>
      </c>
      <c r="L348" s="200">
        <f>SUM(L349)</f>
        <v>200</v>
      </c>
      <c r="M348" s="392"/>
      <c r="N348" s="200">
        <f>SUM(N349)</f>
        <v>0</v>
      </c>
      <c r="O348" s="162">
        <f t="shared" si="66"/>
        <v>200</v>
      </c>
      <c r="P348" s="200">
        <f>P349</f>
        <v>0</v>
      </c>
      <c r="Q348" s="200">
        <f>Q349</f>
        <v>0</v>
      </c>
      <c r="R348" s="200">
        <f>R349</f>
        <v>200</v>
      </c>
      <c r="S348" s="392"/>
      <c r="T348" s="200">
        <f>T349</f>
        <v>0</v>
      </c>
    </row>
    <row r="349" spans="1:20" ht="57" customHeight="1" x14ac:dyDescent="0.25">
      <c r="A349" s="407"/>
      <c r="B349" s="390" t="s">
        <v>712</v>
      </c>
      <c r="C349" s="162">
        <f t="shared" si="68"/>
        <v>200</v>
      </c>
      <c r="D349" s="389"/>
      <c r="E349" s="389"/>
      <c r="F349" s="389">
        <v>200</v>
      </c>
      <c r="G349" s="389"/>
      <c r="H349" s="389"/>
      <c r="I349" s="162">
        <f t="shared" si="67"/>
        <v>200</v>
      </c>
      <c r="J349" s="389"/>
      <c r="K349" s="389"/>
      <c r="L349" s="389">
        <v>200</v>
      </c>
      <c r="M349" s="392"/>
      <c r="N349" s="389"/>
      <c r="O349" s="162">
        <f t="shared" si="66"/>
        <v>200</v>
      </c>
      <c r="P349" s="392"/>
      <c r="Q349" s="392"/>
      <c r="R349" s="392">
        <v>200</v>
      </c>
      <c r="S349" s="392"/>
      <c r="T349" s="392"/>
    </row>
    <row r="350" spans="1:20" ht="51" customHeight="1" x14ac:dyDescent="0.25">
      <c r="A350" s="407"/>
      <c r="B350" s="382" t="s">
        <v>713</v>
      </c>
      <c r="C350" s="162">
        <f t="shared" si="68"/>
        <v>189410</v>
      </c>
      <c r="D350" s="200">
        <f>D351+D372</f>
        <v>0</v>
      </c>
      <c r="E350" s="200">
        <f>E351+E372</f>
        <v>180000</v>
      </c>
      <c r="F350" s="200">
        <f>F351+F372</f>
        <v>9410</v>
      </c>
      <c r="G350" s="200"/>
      <c r="H350" s="200">
        <f>H351+H372</f>
        <v>0</v>
      </c>
      <c r="I350" s="162">
        <f t="shared" si="67"/>
        <v>141189.72257000001</v>
      </c>
      <c r="J350" s="200">
        <f>J351+J372</f>
        <v>1842.5819899999999</v>
      </c>
      <c r="K350" s="200">
        <f>K351+K372</f>
        <v>90772.207720000006</v>
      </c>
      <c r="L350" s="200">
        <f>L351+L372</f>
        <v>48574.932860000001</v>
      </c>
      <c r="M350" s="392"/>
      <c r="N350" s="200">
        <f>N351+N372</f>
        <v>0</v>
      </c>
      <c r="O350" s="162">
        <f t="shared" si="66"/>
        <v>135216.29499999998</v>
      </c>
      <c r="P350" s="200">
        <f>P351+P372</f>
        <v>642.49130000000002</v>
      </c>
      <c r="Q350" s="200">
        <f>Q351+Q372</f>
        <v>90667.848809999996</v>
      </c>
      <c r="R350" s="200">
        <f>R351+R372</f>
        <v>43905.954889999994</v>
      </c>
      <c r="S350" s="392"/>
      <c r="T350" s="200">
        <f>T351+T372</f>
        <v>0</v>
      </c>
    </row>
    <row r="351" spans="1:20" ht="63.75" customHeight="1" x14ac:dyDescent="0.25">
      <c r="A351" s="407"/>
      <c r="B351" s="382" t="s">
        <v>714</v>
      </c>
      <c r="C351" s="162">
        <f t="shared" si="68"/>
        <v>187180</v>
      </c>
      <c r="D351" s="200">
        <f>D352+D359+D364</f>
        <v>0</v>
      </c>
      <c r="E351" s="200">
        <f>E352+E359+E364</f>
        <v>180000</v>
      </c>
      <c r="F351" s="200">
        <f>F352+F359+F364</f>
        <v>7180</v>
      </c>
      <c r="G351" s="200"/>
      <c r="H351" s="200">
        <f>H352+H359+H364</f>
        <v>0</v>
      </c>
      <c r="I351" s="162">
        <f t="shared" si="67"/>
        <v>139218.00757000002</v>
      </c>
      <c r="J351" s="200">
        <f>J352+J359+J364</f>
        <v>1842.5819899999999</v>
      </c>
      <c r="K351" s="200">
        <f>K352+K359+K364</f>
        <v>90772.207720000006</v>
      </c>
      <c r="L351" s="200">
        <f>L352+L359+L364</f>
        <v>46603.217860000004</v>
      </c>
      <c r="M351" s="392"/>
      <c r="N351" s="200">
        <f>N352+N359+N364</f>
        <v>0</v>
      </c>
      <c r="O351" s="162">
        <f t="shared" ref="O351:O374" si="69">SUM(P351:T351)</f>
        <v>133244.57999999999</v>
      </c>
      <c r="P351" s="200">
        <f>P352+P359+P364</f>
        <v>642.49130000000002</v>
      </c>
      <c r="Q351" s="200">
        <f>Q352+Q359+Q364</f>
        <v>90667.848809999996</v>
      </c>
      <c r="R351" s="200">
        <f>R352+R359+R364</f>
        <v>41934.239889999997</v>
      </c>
      <c r="S351" s="392"/>
      <c r="T351" s="200">
        <f>T352+T359+T364</f>
        <v>0</v>
      </c>
    </row>
    <row r="352" spans="1:20" ht="65.25" customHeight="1" x14ac:dyDescent="0.25">
      <c r="A352" s="407"/>
      <c r="B352" s="382" t="s">
        <v>715</v>
      </c>
      <c r="C352" s="162">
        <f t="shared" si="68"/>
        <v>185400</v>
      </c>
      <c r="D352" s="200">
        <f>SUM(D353:D358)</f>
        <v>0</v>
      </c>
      <c r="E352" s="200">
        <f>SUM(E353:E358)</f>
        <v>180000</v>
      </c>
      <c r="F352" s="200">
        <f>SUM(F353:F358)</f>
        <v>5400</v>
      </c>
      <c r="G352" s="200"/>
      <c r="H352" s="200">
        <f>SUM(H353:H358)</f>
        <v>0</v>
      </c>
      <c r="I352" s="162">
        <f t="shared" si="67"/>
        <v>120994.43805</v>
      </c>
      <c r="J352" s="200">
        <f>SUM(J353:J358)</f>
        <v>0</v>
      </c>
      <c r="K352" s="200">
        <f>SUM(K353:K358)</f>
        <v>90611.983200000002</v>
      </c>
      <c r="L352" s="200">
        <f>SUM(L353:L358)</f>
        <v>30382.454850000002</v>
      </c>
      <c r="M352" s="392"/>
      <c r="N352" s="200">
        <f>SUM(N353:N358)</f>
        <v>0</v>
      </c>
      <c r="O352" s="162">
        <f t="shared" si="69"/>
        <v>118294.44</v>
      </c>
      <c r="P352" s="200">
        <f>SUM(P353:P358)</f>
        <v>0</v>
      </c>
      <c r="Q352" s="200">
        <f>SUM(Q353:Q358)</f>
        <v>90611.98</v>
      </c>
      <c r="R352" s="200">
        <f>SUM(R353:R358)</f>
        <v>27682.46</v>
      </c>
      <c r="S352" s="392"/>
      <c r="T352" s="200">
        <f>SUM(T353:T358)</f>
        <v>0</v>
      </c>
    </row>
    <row r="353" spans="1:20" ht="100.5" customHeight="1" x14ac:dyDescent="0.25">
      <c r="A353" s="407"/>
      <c r="B353" s="390" t="s">
        <v>716</v>
      </c>
      <c r="C353" s="162">
        <f t="shared" si="68"/>
        <v>5400</v>
      </c>
      <c r="D353" s="389"/>
      <c r="E353" s="389"/>
      <c r="F353" s="389">
        <v>5400</v>
      </c>
      <c r="G353" s="389"/>
      <c r="H353" s="389"/>
      <c r="I353" s="162">
        <f t="shared" ref="I353:I374" si="70">SUM(J353:N353)</f>
        <v>5400</v>
      </c>
      <c r="J353" s="389"/>
      <c r="K353" s="389"/>
      <c r="L353" s="389">
        <v>5400</v>
      </c>
      <c r="M353" s="392"/>
      <c r="N353" s="389"/>
      <c r="O353" s="162">
        <f t="shared" si="69"/>
        <v>2700</v>
      </c>
      <c r="P353" s="392"/>
      <c r="Q353" s="392"/>
      <c r="R353" s="392">
        <v>2700</v>
      </c>
      <c r="S353" s="392"/>
      <c r="T353" s="392"/>
    </row>
    <row r="354" spans="1:20" ht="97.5" customHeight="1" x14ac:dyDescent="0.25">
      <c r="A354" s="407"/>
      <c r="B354" s="390" t="s">
        <v>716</v>
      </c>
      <c r="C354" s="162">
        <f t="shared" ref="C354:C375" si="71">SUM(D354:H354)</f>
        <v>180000</v>
      </c>
      <c r="D354" s="389"/>
      <c r="E354" s="389">
        <v>180000</v>
      </c>
      <c r="F354" s="389"/>
      <c r="G354" s="389"/>
      <c r="H354" s="389"/>
      <c r="I354" s="162">
        <f t="shared" si="70"/>
        <v>87300</v>
      </c>
      <c r="J354" s="389"/>
      <c r="K354" s="389">
        <v>87300</v>
      </c>
      <c r="L354" s="389"/>
      <c r="M354" s="392"/>
      <c r="N354" s="389"/>
      <c r="O354" s="162">
        <f t="shared" si="69"/>
        <v>87300</v>
      </c>
      <c r="P354" s="392"/>
      <c r="Q354" s="392">
        <v>87300</v>
      </c>
      <c r="R354" s="392"/>
      <c r="S354" s="392"/>
      <c r="T354" s="392"/>
    </row>
    <row r="355" spans="1:20" ht="31.5" x14ac:dyDescent="0.25">
      <c r="A355" s="407"/>
      <c r="B355" s="390" t="s">
        <v>717</v>
      </c>
      <c r="C355" s="162">
        <f t="shared" si="71"/>
        <v>0</v>
      </c>
      <c r="D355" s="389"/>
      <c r="E355" s="389"/>
      <c r="F355" s="389"/>
      <c r="G355" s="389"/>
      <c r="H355" s="389"/>
      <c r="I355" s="162">
        <f t="shared" si="70"/>
        <v>241.64685</v>
      </c>
      <c r="J355" s="389"/>
      <c r="K355" s="389"/>
      <c r="L355" s="389">
        <v>241.64685</v>
      </c>
      <c r="M355" s="392"/>
      <c r="N355" s="389"/>
      <c r="O355" s="162">
        <f t="shared" si="69"/>
        <v>241.65</v>
      </c>
      <c r="P355" s="392"/>
      <c r="Q355" s="392"/>
      <c r="R355" s="392">
        <v>241.65</v>
      </c>
      <c r="S355" s="392"/>
      <c r="T355" s="392"/>
    </row>
    <row r="356" spans="1:20" ht="31.5" x14ac:dyDescent="0.25">
      <c r="A356" s="407"/>
      <c r="B356" s="390" t="s">
        <v>717</v>
      </c>
      <c r="C356" s="162">
        <f t="shared" si="71"/>
        <v>0</v>
      </c>
      <c r="D356" s="389"/>
      <c r="E356" s="389"/>
      <c r="F356" s="389"/>
      <c r="G356" s="389"/>
      <c r="H356" s="389"/>
      <c r="I356" s="162">
        <f t="shared" si="70"/>
        <v>3311.9832000000001</v>
      </c>
      <c r="J356" s="389"/>
      <c r="K356" s="389">
        <v>3311.9832000000001</v>
      </c>
      <c r="L356" s="389"/>
      <c r="M356" s="392"/>
      <c r="N356" s="389"/>
      <c r="O356" s="162">
        <f t="shared" si="69"/>
        <v>3311.98</v>
      </c>
      <c r="P356" s="392"/>
      <c r="Q356" s="392">
        <v>3311.98</v>
      </c>
      <c r="R356" s="392"/>
      <c r="S356" s="392"/>
      <c r="T356" s="392"/>
    </row>
    <row r="357" spans="1:20" ht="63" x14ac:dyDescent="0.25">
      <c r="A357" s="407"/>
      <c r="B357" s="390" t="s">
        <v>718</v>
      </c>
      <c r="C357" s="162">
        <f t="shared" si="71"/>
        <v>0</v>
      </c>
      <c r="D357" s="389"/>
      <c r="E357" s="389"/>
      <c r="F357" s="389"/>
      <c r="G357" s="389"/>
      <c r="H357" s="389"/>
      <c r="I357" s="162">
        <f t="shared" si="70"/>
        <v>1057.308</v>
      </c>
      <c r="J357" s="389"/>
      <c r="K357" s="389"/>
      <c r="L357" s="389">
        <f>897.362+160-0.054</f>
        <v>1057.308</v>
      </c>
      <c r="M357" s="392"/>
      <c r="N357" s="389"/>
      <c r="O357" s="162">
        <f t="shared" si="69"/>
        <v>1057.31</v>
      </c>
      <c r="P357" s="392"/>
      <c r="Q357" s="392"/>
      <c r="R357" s="392">
        <v>1057.31</v>
      </c>
      <c r="S357" s="392"/>
      <c r="T357" s="392"/>
    </row>
    <row r="358" spans="1:20" ht="54" customHeight="1" x14ac:dyDescent="0.25">
      <c r="A358" s="407"/>
      <c r="B358" s="390" t="s">
        <v>719</v>
      </c>
      <c r="C358" s="162">
        <f t="shared" si="71"/>
        <v>0</v>
      </c>
      <c r="D358" s="389"/>
      <c r="E358" s="389"/>
      <c r="F358" s="389"/>
      <c r="G358" s="389"/>
      <c r="H358" s="389"/>
      <c r="I358" s="162">
        <f t="shared" si="70"/>
        <v>23683.5</v>
      </c>
      <c r="J358" s="389"/>
      <c r="K358" s="389"/>
      <c r="L358" s="389">
        <f>10500+13183.5</f>
        <v>23683.5</v>
      </c>
      <c r="M358" s="392"/>
      <c r="N358" s="389"/>
      <c r="O358" s="162">
        <f t="shared" si="69"/>
        <v>23683.5</v>
      </c>
      <c r="P358" s="392"/>
      <c r="Q358" s="392"/>
      <c r="R358" s="392">
        <v>23683.5</v>
      </c>
      <c r="S358" s="392"/>
      <c r="T358" s="392"/>
    </row>
    <row r="359" spans="1:20" x14ac:dyDescent="0.25">
      <c r="A359" s="407"/>
      <c r="B359" s="382" t="s">
        <v>720</v>
      </c>
      <c r="C359" s="162">
        <f t="shared" si="71"/>
        <v>0</v>
      </c>
      <c r="D359" s="200">
        <f>SUM(D360:D363)</f>
        <v>0</v>
      </c>
      <c r="E359" s="200">
        <f>SUM(E360:E363)</f>
        <v>0</v>
      </c>
      <c r="F359" s="200">
        <f>SUM(F360:F363)</f>
        <v>0</v>
      </c>
      <c r="G359" s="200"/>
      <c r="H359" s="200">
        <f>SUM(H360:H363)</f>
        <v>0</v>
      </c>
      <c r="I359" s="162">
        <f t="shared" si="70"/>
        <v>2108.3684400000002</v>
      </c>
      <c r="J359" s="200">
        <f>SUM(J360:J363)</f>
        <v>0</v>
      </c>
      <c r="K359" s="200">
        <f>SUM(K360:K363)</f>
        <v>0</v>
      </c>
      <c r="L359" s="200">
        <f>SUM(L360:L363)</f>
        <v>2108.3684400000002</v>
      </c>
      <c r="M359" s="392"/>
      <c r="N359" s="200">
        <f>SUM(N360:N363)</f>
        <v>0</v>
      </c>
      <c r="O359" s="162">
        <f t="shared" si="69"/>
        <v>1732.4390199999998</v>
      </c>
      <c r="P359" s="200">
        <f>SUM(P360:P363)</f>
        <v>0</v>
      </c>
      <c r="Q359" s="200">
        <f>SUM(Q360:Q363)</f>
        <v>0</v>
      </c>
      <c r="R359" s="200">
        <f>SUM(R360:R363)</f>
        <v>1732.4390199999998</v>
      </c>
      <c r="S359" s="392"/>
      <c r="T359" s="200">
        <f>SUM(T360:T363)</f>
        <v>0</v>
      </c>
    </row>
    <row r="360" spans="1:20" ht="47.25" x14ac:dyDescent="0.25">
      <c r="A360" s="407"/>
      <c r="B360" s="390" t="s">
        <v>721</v>
      </c>
      <c r="C360" s="162">
        <f t="shared" si="71"/>
        <v>0</v>
      </c>
      <c r="D360" s="389"/>
      <c r="E360" s="389"/>
      <c r="F360" s="389"/>
      <c r="G360" s="389"/>
      <c r="H360" s="389"/>
      <c r="I360" s="162">
        <f t="shared" si="70"/>
        <v>290</v>
      </c>
      <c r="J360" s="389"/>
      <c r="K360" s="389"/>
      <c r="L360" s="389">
        <v>290</v>
      </c>
      <c r="M360" s="392"/>
      <c r="N360" s="389"/>
      <c r="O360" s="162">
        <f t="shared" si="69"/>
        <v>290</v>
      </c>
      <c r="P360" s="392"/>
      <c r="Q360" s="392"/>
      <c r="R360" s="402">
        <v>290</v>
      </c>
      <c r="S360" s="392"/>
      <c r="T360" s="392"/>
    </row>
    <row r="361" spans="1:20" ht="47.25" x14ac:dyDescent="0.25">
      <c r="A361" s="407"/>
      <c r="B361" s="390" t="s">
        <v>722</v>
      </c>
      <c r="C361" s="162">
        <f t="shared" si="71"/>
        <v>0</v>
      </c>
      <c r="D361" s="389"/>
      <c r="E361" s="389"/>
      <c r="F361" s="389"/>
      <c r="G361" s="389"/>
      <c r="H361" s="389"/>
      <c r="I361" s="162">
        <f t="shared" si="70"/>
        <v>395</v>
      </c>
      <c r="J361" s="389"/>
      <c r="K361" s="389"/>
      <c r="L361" s="389">
        <v>395</v>
      </c>
      <c r="M361" s="392"/>
      <c r="N361" s="389"/>
      <c r="O361" s="162">
        <f t="shared" si="69"/>
        <v>395</v>
      </c>
      <c r="P361" s="392"/>
      <c r="Q361" s="392"/>
      <c r="R361" s="402">
        <v>395</v>
      </c>
      <c r="S361" s="392"/>
      <c r="T361" s="392"/>
    </row>
    <row r="362" spans="1:20" ht="47.25" x14ac:dyDescent="0.25">
      <c r="A362" s="407"/>
      <c r="B362" s="390" t="s">
        <v>723</v>
      </c>
      <c r="C362" s="162">
        <f t="shared" si="71"/>
        <v>0</v>
      </c>
      <c r="D362" s="389"/>
      <c r="E362" s="389"/>
      <c r="F362" s="389"/>
      <c r="G362" s="389"/>
      <c r="H362" s="389"/>
      <c r="I362" s="162">
        <f t="shared" si="70"/>
        <v>504.36844000000002</v>
      </c>
      <c r="J362" s="389"/>
      <c r="K362" s="389"/>
      <c r="L362" s="389">
        <v>504.36844000000002</v>
      </c>
      <c r="M362" s="392"/>
      <c r="N362" s="389"/>
      <c r="O362" s="162">
        <f t="shared" si="69"/>
        <v>504.36844000000002</v>
      </c>
      <c r="P362" s="392"/>
      <c r="Q362" s="392"/>
      <c r="R362" s="402">
        <v>504.36844000000002</v>
      </c>
      <c r="S362" s="392"/>
      <c r="T362" s="392"/>
    </row>
    <row r="363" spans="1:20" ht="47.25" x14ac:dyDescent="0.25">
      <c r="A363" s="407"/>
      <c r="B363" s="390" t="s">
        <v>724</v>
      </c>
      <c r="C363" s="162">
        <f t="shared" si="71"/>
        <v>0</v>
      </c>
      <c r="D363" s="389"/>
      <c r="E363" s="389"/>
      <c r="F363" s="389"/>
      <c r="G363" s="389"/>
      <c r="H363" s="389"/>
      <c r="I363" s="162">
        <f t="shared" si="70"/>
        <v>919</v>
      </c>
      <c r="J363" s="389"/>
      <c r="K363" s="389"/>
      <c r="L363" s="389">
        <v>919</v>
      </c>
      <c r="M363" s="392"/>
      <c r="N363" s="389"/>
      <c r="O363" s="162">
        <f t="shared" si="69"/>
        <v>543.07057999999995</v>
      </c>
      <c r="P363" s="392"/>
      <c r="Q363" s="392"/>
      <c r="R363" s="405">
        <v>543.07057999999995</v>
      </c>
      <c r="S363" s="392"/>
      <c r="T363" s="392"/>
    </row>
    <row r="364" spans="1:20" ht="84" customHeight="1" x14ac:dyDescent="0.25">
      <c r="A364" s="407"/>
      <c r="B364" s="382" t="s">
        <v>725</v>
      </c>
      <c r="C364" s="162">
        <f t="shared" si="71"/>
        <v>1780</v>
      </c>
      <c r="D364" s="200">
        <f>SUM(D365:D370)</f>
        <v>0</v>
      </c>
      <c r="E364" s="200">
        <f>SUM(E365:E370)</f>
        <v>0</v>
      </c>
      <c r="F364" s="200">
        <f>SUM(F365:F370)</f>
        <v>1780</v>
      </c>
      <c r="G364" s="200"/>
      <c r="H364" s="200">
        <f>SUM(H365:H370)</f>
        <v>0</v>
      </c>
      <c r="I364" s="162">
        <f t="shared" si="70"/>
        <v>16115.201080000001</v>
      </c>
      <c r="J364" s="200">
        <f>SUM(J365:J370)</f>
        <v>1842.5819899999999</v>
      </c>
      <c r="K364" s="200">
        <f>SUM(K365:K370)</f>
        <v>160.22452000000001</v>
      </c>
      <c r="L364" s="200">
        <f>SUM(L365:L371)</f>
        <v>14112.39457</v>
      </c>
      <c r="M364" s="392"/>
      <c r="N364" s="200">
        <f>SUM(N365:N370)</f>
        <v>0</v>
      </c>
      <c r="O364" s="162">
        <f t="shared" si="69"/>
        <v>13217.700980000001</v>
      </c>
      <c r="P364" s="200">
        <f>SUM(P365:P370)</f>
        <v>642.49130000000002</v>
      </c>
      <c r="Q364" s="200">
        <f>SUM(Q365:Q370)</f>
        <v>55.868810000000003</v>
      </c>
      <c r="R364" s="200">
        <f>SUM(R365:R371)</f>
        <v>12519.340870000002</v>
      </c>
      <c r="S364" s="392"/>
      <c r="T364" s="200">
        <f>SUM(T365:T370)</f>
        <v>0</v>
      </c>
    </row>
    <row r="365" spans="1:20" ht="31.5" x14ac:dyDescent="0.25">
      <c r="A365" s="407"/>
      <c r="B365" s="390" t="s">
        <v>726</v>
      </c>
      <c r="C365" s="162">
        <f t="shared" si="71"/>
        <v>1780</v>
      </c>
      <c r="D365" s="389"/>
      <c r="E365" s="389"/>
      <c r="F365" s="389">
        <v>1780</v>
      </c>
      <c r="G365" s="389"/>
      <c r="H365" s="389"/>
      <c r="I365" s="162">
        <f t="shared" si="70"/>
        <v>0</v>
      </c>
      <c r="J365" s="389"/>
      <c r="K365" s="389"/>
      <c r="L365" s="389"/>
      <c r="M365" s="392"/>
      <c r="N365" s="389"/>
      <c r="O365" s="162">
        <f t="shared" si="69"/>
        <v>0</v>
      </c>
      <c r="P365" s="392"/>
      <c r="Q365" s="392"/>
      <c r="R365" s="392"/>
      <c r="S365" s="392"/>
      <c r="T365" s="392"/>
    </row>
    <row r="366" spans="1:20" ht="46.5" customHeight="1" x14ac:dyDescent="0.25">
      <c r="A366" s="407"/>
      <c r="B366" s="390" t="s">
        <v>727</v>
      </c>
      <c r="C366" s="162">
        <f t="shared" si="71"/>
        <v>0</v>
      </c>
      <c r="D366" s="389"/>
      <c r="E366" s="389"/>
      <c r="F366" s="389"/>
      <c r="G366" s="389"/>
      <c r="H366" s="389"/>
      <c r="I366" s="162">
        <f t="shared" si="70"/>
        <v>1023.3</v>
      </c>
      <c r="J366" s="389"/>
      <c r="K366" s="389"/>
      <c r="L366" s="389">
        <v>1023.3</v>
      </c>
      <c r="M366" s="392"/>
      <c r="N366" s="389"/>
      <c r="O366" s="162">
        <f t="shared" si="69"/>
        <v>1023.3</v>
      </c>
      <c r="P366" s="392"/>
      <c r="Q366" s="392"/>
      <c r="R366" s="405">
        <v>1023.3</v>
      </c>
      <c r="S366" s="392"/>
      <c r="T366" s="392"/>
    </row>
    <row r="367" spans="1:20" ht="31.5" x14ac:dyDescent="0.25">
      <c r="A367" s="407"/>
      <c r="B367" s="390" t="s">
        <v>728</v>
      </c>
      <c r="C367" s="162">
        <f t="shared" si="71"/>
        <v>0</v>
      </c>
      <c r="D367" s="389"/>
      <c r="E367" s="389"/>
      <c r="F367" s="389"/>
      <c r="G367" s="389"/>
      <c r="H367" s="389"/>
      <c r="I367" s="162">
        <f t="shared" si="70"/>
        <v>500.09609999999998</v>
      </c>
      <c r="J367" s="389"/>
      <c r="K367" s="389"/>
      <c r="L367" s="389">
        <v>500.09609999999998</v>
      </c>
      <c r="M367" s="392"/>
      <c r="N367" s="389"/>
      <c r="O367" s="162">
        <f t="shared" si="69"/>
        <v>500.09609999999998</v>
      </c>
      <c r="P367" s="392"/>
      <c r="Q367" s="392"/>
      <c r="R367" s="405">
        <v>500.09609999999998</v>
      </c>
      <c r="S367" s="392"/>
      <c r="T367" s="392"/>
    </row>
    <row r="368" spans="1:20" ht="78.75" x14ac:dyDescent="0.25">
      <c r="A368" s="407"/>
      <c r="B368" s="390" t="s">
        <v>729</v>
      </c>
      <c r="C368" s="162">
        <f t="shared" si="71"/>
        <v>0</v>
      </c>
      <c r="D368" s="389"/>
      <c r="E368" s="389"/>
      <c r="F368" s="389"/>
      <c r="G368" s="389"/>
      <c r="H368" s="389"/>
      <c r="I368" s="162">
        <f t="shared" si="70"/>
        <v>2064.7489799999998</v>
      </c>
      <c r="J368" s="389">
        <v>1842.5819899999999</v>
      </c>
      <c r="K368" s="389">
        <v>160.22452000000001</v>
      </c>
      <c r="L368" s="389">
        <v>61.94247</v>
      </c>
      <c r="M368" s="392"/>
      <c r="N368" s="389"/>
      <c r="O368" s="162">
        <f t="shared" si="69"/>
        <v>719.95888000000002</v>
      </c>
      <c r="P368" s="392">
        <v>642.49130000000002</v>
      </c>
      <c r="Q368" s="392">
        <v>55.868810000000003</v>
      </c>
      <c r="R368" s="405">
        <v>21.598769999999998</v>
      </c>
      <c r="S368" s="392"/>
      <c r="T368" s="392"/>
    </row>
    <row r="369" spans="1:26" ht="47.25" x14ac:dyDescent="0.25">
      <c r="A369" s="407"/>
      <c r="B369" s="390" t="s">
        <v>730</v>
      </c>
      <c r="C369" s="162">
        <f t="shared" si="71"/>
        <v>0</v>
      </c>
      <c r="D369" s="389"/>
      <c r="E369" s="389"/>
      <c r="F369" s="389"/>
      <c r="G369" s="389"/>
      <c r="H369" s="389"/>
      <c r="I369" s="162">
        <f t="shared" si="70"/>
        <v>601.74800000000005</v>
      </c>
      <c r="J369" s="389"/>
      <c r="K369" s="389"/>
      <c r="L369" s="389">
        <v>601.74800000000005</v>
      </c>
      <c r="M369" s="392"/>
      <c r="N369" s="389"/>
      <c r="O369" s="162">
        <f t="shared" si="69"/>
        <v>102.172</v>
      </c>
      <c r="P369" s="392"/>
      <c r="Q369" s="392"/>
      <c r="R369" s="405">
        <f>102.172</f>
        <v>102.172</v>
      </c>
      <c r="S369" s="392"/>
      <c r="T369" s="392"/>
    </row>
    <row r="370" spans="1:26" ht="31.5" x14ac:dyDescent="0.25">
      <c r="A370" s="407"/>
      <c r="B370" s="390" t="s">
        <v>731</v>
      </c>
      <c r="C370" s="162">
        <f t="shared" si="71"/>
        <v>0</v>
      </c>
      <c r="D370" s="389"/>
      <c r="E370" s="389"/>
      <c r="F370" s="389"/>
      <c r="G370" s="389"/>
      <c r="H370" s="389"/>
      <c r="I370" s="162">
        <f t="shared" si="70"/>
        <v>1338.008</v>
      </c>
      <c r="J370" s="389"/>
      <c r="K370" s="389"/>
      <c r="L370" s="389">
        <f>1053.134+284.874</f>
        <v>1338.008</v>
      </c>
      <c r="M370" s="392"/>
      <c r="N370" s="389"/>
      <c r="O370" s="162">
        <f t="shared" si="69"/>
        <v>284.87400000000002</v>
      </c>
      <c r="P370" s="392"/>
      <c r="Q370" s="392"/>
      <c r="R370" s="405">
        <f>284.874</f>
        <v>284.87400000000002</v>
      </c>
      <c r="S370" s="392"/>
      <c r="T370" s="392"/>
    </row>
    <row r="371" spans="1:26" s="406" customFormat="1" ht="63" x14ac:dyDescent="0.25">
      <c r="A371" s="407"/>
      <c r="B371" s="390" t="s">
        <v>1131</v>
      </c>
      <c r="C371" s="162"/>
      <c r="D371" s="389"/>
      <c r="E371" s="389"/>
      <c r="F371" s="389"/>
      <c r="G371" s="389"/>
      <c r="H371" s="389"/>
      <c r="I371" s="162">
        <f t="shared" si="70"/>
        <v>10587.3</v>
      </c>
      <c r="J371" s="389"/>
      <c r="K371" s="389"/>
      <c r="L371" s="389">
        <v>10587.3</v>
      </c>
      <c r="M371" s="392"/>
      <c r="N371" s="389"/>
      <c r="O371" s="162"/>
      <c r="P371" s="392"/>
      <c r="Q371" s="392"/>
      <c r="R371" s="402">
        <f>6391.2+2621+1575.1</f>
        <v>10587.300000000001</v>
      </c>
      <c r="S371" s="392"/>
      <c r="T371" s="392"/>
    </row>
    <row r="372" spans="1:26" ht="31.5" x14ac:dyDescent="0.25">
      <c r="A372" s="407"/>
      <c r="B372" s="224" t="s">
        <v>732</v>
      </c>
      <c r="C372" s="162">
        <f t="shared" si="71"/>
        <v>2230</v>
      </c>
      <c r="D372" s="200">
        <f>SUM(D373:D375)</f>
        <v>0</v>
      </c>
      <c r="E372" s="200">
        <f>SUM(E373:E375)</f>
        <v>0</v>
      </c>
      <c r="F372" s="200">
        <f>SUM(F373:F375)</f>
        <v>2230</v>
      </c>
      <c r="G372" s="200"/>
      <c r="H372" s="200">
        <f>SUM(H373:H375)</f>
        <v>0</v>
      </c>
      <c r="I372" s="162">
        <f t="shared" si="70"/>
        <v>1971.7150000000001</v>
      </c>
      <c r="J372" s="200">
        <f>SUM(J373:J375)</f>
        <v>0</v>
      </c>
      <c r="K372" s="200">
        <f>SUM(K373:K375)</f>
        <v>0</v>
      </c>
      <c r="L372" s="200">
        <f>SUM(L373:L375)</f>
        <v>1971.7150000000001</v>
      </c>
      <c r="M372" s="392"/>
      <c r="N372" s="200">
        <f>SUM(N373:N375)</f>
        <v>0</v>
      </c>
      <c r="O372" s="162">
        <f t="shared" si="69"/>
        <v>1971.7150000000001</v>
      </c>
      <c r="P372" s="200">
        <f>SUM(P373:P375)</f>
        <v>0</v>
      </c>
      <c r="Q372" s="200">
        <f>SUM(Q373:Q375)</f>
        <v>0</v>
      </c>
      <c r="R372" s="200">
        <f>SUM(R373:R375)</f>
        <v>1971.7150000000001</v>
      </c>
      <c r="S372" s="392"/>
      <c r="T372" s="200">
        <f>SUM(T373:T375)</f>
        <v>0</v>
      </c>
    </row>
    <row r="373" spans="1:26" ht="102" customHeight="1" x14ac:dyDescent="0.25">
      <c r="A373" s="407"/>
      <c r="B373" s="390" t="s">
        <v>733</v>
      </c>
      <c r="C373" s="162">
        <f t="shared" si="71"/>
        <v>940</v>
      </c>
      <c r="D373" s="389"/>
      <c r="E373" s="389"/>
      <c r="F373" s="389">
        <v>940</v>
      </c>
      <c r="G373" s="389"/>
      <c r="H373" s="389"/>
      <c r="I373" s="162">
        <f t="shared" si="70"/>
        <v>456</v>
      </c>
      <c r="J373" s="389"/>
      <c r="K373" s="389"/>
      <c r="L373" s="389">
        <f>456</f>
        <v>456</v>
      </c>
      <c r="M373" s="392"/>
      <c r="N373" s="389"/>
      <c r="O373" s="162">
        <f t="shared" si="69"/>
        <v>456</v>
      </c>
      <c r="P373" s="392"/>
      <c r="Q373" s="392"/>
      <c r="R373" s="402">
        <v>456</v>
      </c>
      <c r="S373" s="392"/>
      <c r="T373" s="392"/>
    </row>
    <row r="374" spans="1:26" ht="63" x14ac:dyDescent="0.25">
      <c r="A374" s="407"/>
      <c r="B374" s="390" t="s">
        <v>734</v>
      </c>
      <c r="C374" s="162">
        <f t="shared" si="71"/>
        <v>540</v>
      </c>
      <c r="D374" s="389"/>
      <c r="E374" s="389"/>
      <c r="F374" s="389">
        <v>540</v>
      </c>
      <c r="G374" s="389"/>
      <c r="H374" s="389"/>
      <c r="I374" s="162">
        <f t="shared" si="70"/>
        <v>1312.8150000000001</v>
      </c>
      <c r="J374" s="389"/>
      <c r="K374" s="389"/>
      <c r="L374" s="389">
        <f>357.971+954.844</f>
        <v>1312.8150000000001</v>
      </c>
      <c r="M374" s="392"/>
      <c r="N374" s="389"/>
      <c r="O374" s="162">
        <f t="shared" si="69"/>
        <v>1312.8150000000001</v>
      </c>
      <c r="P374" s="392"/>
      <c r="Q374" s="392"/>
      <c r="R374" s="402">
        <f>357.971+954.844</f>
        <v>1312.8150000000001</v>
      </c>
      <c r="S374" s="392"/>
      <c r="T374" s="392"/>
    </row>
    <row r="375" spans="1:26" ht="78.75" x14ac:dyDescent="0.25">
      <c r="A375" s="407"/>
      <c r="B375" s="390" t="s">
        <v>735</v>
      </c>
      <c r="C375" s="162">
        <f t="shared" si="71"/>
        <v>750</v>
      </c>
      <c r="D375" s="389"/>
      <c r="E375" s="389"/>
      <c r="F375" s="389">
        <v>750</v>
      </c>
      <c r="G375" s="389"/>
      <c r="H375" s="389"/>
      <c r="I375" s="162">
        <f>SUM(J375:N375)</f>
        <v>202.9</v>
      </c>
      <c r="J375" s="389"/>
      <c r="K375" s="389"/>
      <c r="L375" s="389">
        <f>68.6+134.3</f>
        <v>202.9</v>
      </c>
      <c r="M375" s="392"/>
      <c r="N375" s="389"/>
      <c r="O375" s="162">
        <f>SUM(P375:T375)</f>
        <v>202.9</v>
      </c>
      <c r="P375" s="392"/>
      <c r="Q375" s="392"/>
      <c r="R375" s="402">
        <f>68.6+134.3</f>
        <v>202.9</v>
      </c>
      <c r="S375" s="392"/>
      <c r="T375" s="392"/>
    </row>
    <row r="376" spans="1:26" s="621" customFormat="1" ht="63" x14ac:dyDescent="0.3">
      <c r="A376" s="616">
        <v>20</v>
      </c>
      <c r="B376" s="633" t="s">
        <v>1384</v>
      </c>
      <c r="C376" s="640">
        <f>SUM(D376:H376)</f>
        <v>60703</v>
      </c>
      <c r="D376" s="640"/>
      <c r="E376" s="640"/>
      <c r="F376" s="640">
        <f>SUM(F377+F385+F397+F405)</f>
        <v>59196.5</v>
      </c>
      <c r="G376" s="640"/>
      <c r="H376" s="640">
        <f>SUM(H377+H385+H397+H405)</f>
        <v>1506.5</v>
      </c>
      <c r="I376" s="642">
        <f>SUM(J376:N376)</f>
        <v>63047.671119999999</v>
      </c>
      <c r="J376" s="640">
        <f>SUM(J377+J385+J397+J405)</f>
        <v>100</v>
      </c>
      <c r="K376" s="640">
        <f>SUM(K377+K385+K397+K405)</f>
        <v>8.6999999999999993</v>
      </c>
      <c r="L376" s="640">
        <f>SUM(L377+L385+L397+L405)</f>
        <v>62318.511120000003</v>
      </c>
      <c r="M376" s="640">
        <f>SUM(M377+M385+M397+M405)</f>
        <v>0</v>
      </c>
      <c r="N376" s="640">
        <f>SUM(N377+N385+N397+N405)</f>
        <v>620.46</v>
      </c>
      <c r="O376" s="642">
        <f t="shared" ref="O376:O406" si="72">SUM(P376:T376)</f>
        <v>61037.375999999997</v>
      </c>
      <c r="P376" s="640">
        <f>SUM(P377+P385+P397+P405)</f>
        <v>100</v>
      </c>
      <c r="Q376" s="640">
        <f>SUM(Q377+Q385+Q397+Q405)</f>
        <v>8.6999999999999993</v>
      </c>
      <c r="R376" s="640">
        <f>SUM(R377+R385+R397+R405)</f>
        <v>60308.218999999997</v>
      </c>
      <c r="S376" s="640">
        <f>SUM(S377+S385+S397+S405)</f>
        <v>0</v>
      </c>
      <c r="T376" s="640">
        <f>SUM(T377+T385+T397+T405)</f>
        <v>620.45699999999999</v>
      </c>
      <c r="U376" s="619">
        <f>I376/4*4</f>
        <v>63047.671119999999</v>
      </c>
      <c r="V376" s="620">
        <f>O376/U376*100</f>
        <v>96.811468077585673</v>
      </c>
      <c r="Y376" s="622">
        <f>I376-L376</f>
        <v>729.15999999999622</v>
      </c>
      <c r="Z376" s="622">
        <f>Y376/I376*100</f>
        <v>1.1565217034141835</v>
      </c>
    </row>
    <row r="377" spans="1:26" x14ac:dyDescent="0.25">
      <c r="A377" s="407"/>
      <c r="B377" s="193" t="s">
        <v>539</v>
      </c>
      <c r="C377" s="198">
        <f t="shared" ref="C377:C406" si="73">SUM(D377:H377)</f>
        <v>12120.2</v>
      </c>
      <c r="D377" s="236"/>
      <c r="E377" s="236"/>
      <c r="F377" s="236">
        <f>SUM(F378+F379+F384)</f>
        <v>12120.2</v>
      </c>
      <c r="G377" s="236"/>
      <c r="H377" s="236"/>
      <c r="I377" s="162">
        <f t="shared" ref="I377:I406" si="74">SUM(J377:N377)</f>
        <v>9864.9639999999999</v>
      </c>
      <c r="J377" s="190"/>
      <c r="K377" s="190"/>
      <c r="L377" s="190">
        <f>SUM(L378+L379+L384)</f>
        <v>9864.9639999999999</v>
      </c>
      <c r="M377" s="190"/>
      <c r="N377" s="190"/>
      <c r="O377" s="162">
        <f>SUM(P377:T377)</f>
        <v>9754.6689999999999</v>
      </c>
      <c r="P377" s="176"/>
      <c r="Q377" s="176"/>
      <c r="R377" s="190">
        <f>SUM(R378+R379+R384)</f>
        <v>9754.6689999999999</v>
      </c>
      <c r="S377" s="176"/>
      <c r="T377" s="176"/>
    </row>
    <row r="378" spans="1:26" ht="31.5" x14ac:dyDescent="0.25">
      <c r="A378" s="407"/>
      <c r="B378" s="225" t="s">
        <v>737</v>
      </c>
      <c r="C378" s="198">
        <f t="shared" si="73"/>
        <v>11310.2</v>
      </c>
      <c r="D378" s="392"/>
      <c r="E378" s="392"/>
      <c r="F378" s="276">
        <v>11310.2</v>
      </c>
      <c r="G378" s="392"/>
      <c r="H378" s="392"/>
      <c r="I378" s="162">
        <f t="shared" si="74"/>
        <v>9054.9639999999999</v>
      </c>
      <c r="J378" s="176"/>
      <c r="K378" s="176"/>
      <c r="L378" s="277">
        <v>9054.9639999999999</v>
      </c>
      <c r="M378" s="277"/>
      <c r="N378" s="176"/>
      <c r="O378" s="162">
        <f t="shared" si="72"/>
        <v>8944.6689999999999</v>
      </c>
      <c r="P378" s="176"/>
      <c r="Q378" s="176"/>
      <c r="R378" s="277">
        <v>8944.6689999999999</v>
      </c>
      <c r="S378" s="176"/>
      <c r="T378" s="176"/>
    </row>
    <row r="379" spans="1:26" ht="31.5" x14ac:dyDescent="0.25">
      <c r="A379" s="407"/>
      <c r="B379" s="225" t="s">
        <v>738</v>
      </c>
      <c r="C379" s="198">
        <f t="shared" si="73"/>
        <v>140</v>
      </c>
      <c r="D379" s="392"/>
      <c r="E379" s="392"/>
      <c r="F379" s="278">
        <f>SUM(F380:F383)</f>
        <v>140</v>
      </c>
      <c r="G379" s="392"/>
      <c r="H379" s="392"/>
      <c r="I379" s="162">
        <f t="shared" si="74"/>
        <v>140</v>
      </c>
      <c r="J379" s="176"/>
      <c r="K379" s="176"/>
      <c r="L379" s="279">
        <f>SUM(L380:L383)</f>
        <v>140</v>
      </c>
      <c r="M379" s="176"/>
      <c r="N379" s="176"/>
      <c r="O379" s="162">
        <f t="shared" si="72"/>
        <v>140</v>
      </c>
      <c r="P379" s="176"/>
      <c r="Q379" s="176"/>
      <c r="R379" s="279">
        <f>SUM(R380:R383)</f>
        <v>140</v>
      </c>
      <c r="S379" s="176"/>
      <c r="T379" s="176"/>
    </row>
    <row r="380" spans="1:26" ht="63" x14ac:dyDescent="0.25">
      <c r="A380" s="407"/>
      <c r="B380" s="226" t="s">
        <v>739</v>
      </c>
      <c r="C380" s="198">
        <f t="shared" si="73"/>
        <v>60</v>
      </c>
      <c r="D380" s="392"/>
      <c r="E380" s="392"/>
      <c r="F380" s="392">
        <v>60</v>
      </c>
      <c r="G380" s="392"/>
      <c r="H380" s="392"/>
      <c r="I380" s="162">
        <f t="shared" si="74"/>
        <v>60</v>
      </c>
      <c r="J380" s="176"/>
      <c r="K380" s="176"/>
      <c r="L380" s="176">
        <v>60</v>
      </c>
      <c r="M380" s="176"/>
      <c r="N380" s="176"/>
      <c r="O380" s="162">
        <f t="shared" si="72"/>
        <v>60</v>
      </c>
      <c r="P380" s="176"/>
      <c r="Q380" s="176"/>
      <c r="R380" s="176">
        <v>60</v>
      </c>
      <c r="S380" s="176"/>
      <c r="T380" s="176"/>
    </row>
    <row r="381" spans="1:26" ht="47.25" x14ac:dyDescent="0.25">
      <c r="A381" s="407"/>
      <c r="B381" s="226" t="s">
        <v>740</v>
      </c>
      <c r="C381" s="198">
        <f t="shared" si="73"/>
        <v>30</v>
      </c>
      <c r="D381" s="392"/>
      <c r="E381" s="392"/>
      <c r="F381" s="392">
        <v>30</v>
      </c>
      <c r="G381" s="392"/>
      <c r="H381" s="392"/>
      <c r="I381" s="162">
        <f t="shared" si="74"/>
        <v>30</v>
      </c>
      <c r="J381" s="176"/>
      <c r="K381" s="176"/>
      <c r="L381" s="176">
        <v>30</v>
      </c>
      <c r="M381" s="176"/>
      <c r="N381" s="176"/>
      <c r="O381" s="162">
        <f t="shared" si="72"/>
        <v>30</v>
      </c>
      <c r="P381" s="176"/>
      <c r="Q381" s="176"/>
      <c r="R381" s="176">
        <v>30</v>
      </c>
      <c r="S381" s="176"/>
      <c r="T381" s="176"/>
    </row>
    <row r="382" spans="1:26" hidden="1" x14ac:dyDescent="0.25">
      <c r="A382" s="407"/>
      <c r="B382" s="226" t="s">
        <v>741</v>
      </c>
      <c r="C382" s="198">
        <f t="shared" si="73"/>
        <v>0</v>
      </c>
      <c r="D382" s="392"/>
      <c r="E382" s="392"/>
      <c r="F382" s="392"/>
      <c r="G382" s="392"/>
      <c r="H382" s="392"/>
      <c r="I382" s="162">
        <f t="shared" si="74"/>
        <v>0</v>
      </c>
      <c r="J382" s="176"/>
      <c r="K382" s="176"/>
      <c r="L382" s="176"/>
      <c r="M382" s="176"/>
      <c r="N382" s="176"/>
      <c r="O382" s="162">
        <f t="shared" si="72"/>
        <v>0</v>
      </c>
      <c r="P382" s="176"/>
      <c r="Q382" s="176"/>
      <c r="R382" s="176"/>
      <c r="S382" s="176"/>
      <c r="T382" s="176"/>
    </row>
    <row r="383" spans="1:26" ht="31.5" x14ac:dyDescent="0.25">
      <c r="A383" s="407"/>
      <c r="B383" s="226" t="s">
        <v>742</v>
      </c>
      <c r="C383" s="198">
        <f t="shared" si="73"/>
        <v>50</v>
      </c>
      <c r="D383" s="392"/>
      <c r="E383" s="392"/>
      <c r="F383" s="392">
        <v>50</v>
      </c>
      <c r="G383" s="392"/>
      <c r="H383" s="392"/>
      <c r="I383" s="162">
        <f t="shared" si="74"/>
        <v>50</v>
      </c>
      <c r="J383" s="176"/>
      <c r="K383" s="176"/>
      <c r="L383" s="176">
        <v>50</v>
      </c>
      <c r="M383" s="176"/>
      <c r="N383" s="176"/>
      <c r="O383" s="162">
        <f t="shared" si="72"/>
        <v>50</v>
      </c>
      <c r="P383" s="176"/>
      <c r="Q383" s="176"/>
      <c r="R383" s="176">
        <v>50</v>
      </c>
      <c r="S383" s="176"/>
      <c r="T383" s="176"/>
    </row>
    <row r="384" spans="1:26" ht="17.25" customHeight="1" x14ac:dyDescent="0.25">
      <c r="A384" s="407"/>
      <c r="B384" s="227" t="s">
        <v>743</v>
      </c>
      <c r="C384" s="198">
        <f t="shared" si="73"/>
        <v>670</v>
      </c>
      <c r="D384" s="392"/>
      <c r="E384" s="392"/>
      <c r="F384" s="392">
        <v>670</v>
      </c>
      <c r="G384" s="392"/>
      <c r="H384" s="392"/>
      <c r="I384" s="162">
        <f t="shared" si="74"/>
        <v>670</v>
      </c>
      <c r="J384" s="176"/>
      <c r="K384" s="176"/>
      <c r="L384" s="176">
        <v>670</v>
      </c>
      <c r="M384" s="176"/>
      <c r="N384" s="176"/>
      <c r="O384" s="162">
        <f t="shared" si="72"/>
        <v>670</v>
      </c>
      <c r="P384" s="176"/>
      <c r="Q384" s="176"/>
      <c r="R384" s="176">
        <v>670</v>
      </c>
      <c r="S384" s="176"/>
      <c r="T384" s="176"/>
    </row>
    <row r="385" spans="1:21" ht="67.5" customHeight="1" x14ac:dyDescent="0.25">
      <c r="A385" s="407"/>
      <c r="B385" s="193" t="s">
        <v>744</v>
      </c>
      <c r="C385" s="198">
        <f t="shared" si="73"/>
        <v>19463.099999999999</v>
      </c>
      <c r="D385" s="236"/>
      <c r="E385" s="236"/>
      <c r="F385" s="236">
        <f>SUM(F386+F389+F394)</f>
        <v>17963.099999999999</v>
      </c>
      <c r="G385" s="236"/>
      <c r="H385" s="236">
        <f>SUM(H386+H389+H394)</f>
        <v>1500</v>
      </c>
      <c r="I385" s="162">
        <f t="shared" si="74"/>
        <v>17742.478000000003</v>
      </c>
      <c r="J385" s="176"/>
      <c r="K385" s="176"/>
      <c r="L385" s="280">
        <f>SUM(L386+L389+L394)</f>
        <v>17202.618000000002</v>
      </c>
      <c r="M385" s="176">
        <f>SUM(M386+M389+M394)</f>
        <v>0</v>
      </c>
      <c r="N385" s="176">
        <f>SUM(N386+N389+N394)</f>
        <v>539.86</v>
      </c>
      <c r="O385" s="162">
        <f>SUM(P385:T385)</f>
        <v>15842.475</v>
      </c>
      <c r="P385" s="176"/>
      <c r="Q385" s="176"/>
      <c r="R385" s="176">
        <f>SUM(R386+R389+R394)</f>
        <v>15302.618</v>
      </c>
      <c r="T385" s="176">
        <f>SUM(T386+S389+S394)</f>
        <v>539.85699999999997</v>
      </c>
    </row>
    <row r="386" spans="1:21" ht="66.75" customHeight="1" x14ac:dyDescent="0.25">
      <c r="A386" s="407"/>
      <c r="B386" s="225" t="s">
        <v>745</v>
      </c>
      <c r="C386" s="198">
        <f t="shared" si="73"/>
        <v>15733.1</v>
      </c>
      <c r="D386" s="392"/>
      <c r="E386" s="392"/>
      <c r="F386" s="392">
        <f>SUM(F387)</f>
        <v>14233.1</v>
      </c>
      <c r="G386" s="392"/>
      <c r="H386" s="392">
        <f>SUM(H387)</f>
        <v>1500</v>
      </c>
      <c r="I386" s="162">
        <f t="shared" si="74"/>
        <v>14248.746000000001</v>
      </c>
      <c r="J386" s="176"/>
      <c r="K386" s="176"/>
      <c r="L386" s="176">
        <f>SUM(L387)</f>
        <v>13708.886</v>
      </c>
      <c r="M386" s="176">
        <f>SUM(M387)</f>
        <v>0</v>
      </c>
      <c r="N386" s="176">
        <f>SUM(N387)</f>
        <v>539.86</v>
      </c>
      <c r="O386" s="162">
        <f>SUM(P386:T386)</f>
        <v>14248.743</v>
      </c>
      <c r="P386" s="176"/>
      <c r="Q386" s="176"/>
      <c r="R386" s="281">
        <f>R387</f>
        <v>13708.886</v>
      </c>
      <c r="T386" s="281">
        <f>T387</f>
        <v>539.85699999999997</v>
      </c>
    </row>
    <row r="387" spans="1:21" ht="69" customHeight="1" x14ac:dyDescent="0.25">
      <c r="A387" s="407"/>
      <c r="B387" s="226" t="s">
        <v>746</v>
      </c>
      <c r="C387" s="198">
        <f t="shared" si="73"/>
        <v>15733.1</v>
      </c>
      <c r="D387" s="392"/>
      <c r="E387" s="392"/>
      <c r="F387" s="282">
        <v>14233.1</v>
      </c>
      <c r="G387" s="392"/>
      <c r="H387" s="282">
        <v>1500</v>
      </c>
      <c r="I387" s="162">
        <f t="shared" si="74"/>
        <v>14248.746000000001</v>
      </c>
      <c r="J387" s="176"/>
      <c r="K387" s="176"/>
      <c r="L387" s="281">
        <v>13708.886</v>
      </c>
      <c r="M387" s="176"/>
      <c r="N387" s="176">
        <v>539.86</v>
      </c>
      <c r="O387" s="162">
        <f>SUM(P387:T387)</f>
        <v>14248.743</v>
      </c>
      <c r="P387" s="176"/>
      <c r="Q387" s="176"/>
      <c r="R387" s="281">
        <v>13708.886</v>
      </c>
      <c r="T387" s="176">
        <v>539.85699999999997</v>
      </c>
    </row>
    <row r="388" spans="1:21" ht="47.25" hidden="1" x14ac:dyDescent="0.25">
      <c r="A388" s="407"/>
      <c r="B388" s="226" t="s">
        <v>747</v>
      </c>
      <c r="C388" s="198">
        <f t="shared" si="73"/>
        <v>0</v>
      </c>
      <c r="D388" s="392"/>
      <c r="E388" s="392"/>
      <c r="F388" s="392"/>
      <c r="G388" s="392"/>
      <c r="H388" s="392"/>
      <c r="I388" s="162">
        <f t="shared" si="74"/>
        <v>0</v>
      </c>
      <c r="J388" s="176"/>
      <c r="K388" s="176"/>
      <c r="L388" s="176"/>
      <c r="M388" s="176"/>
      <c r="N388" s="176"/>
      <c r="O388" s="162">
        <f t="shared" si="72"/>
        <v>0</v>
      </c>
      <c r="P388" s="176"/>
      <c r="Q388" s="176"/>
      <c r="R388" s="176"/>
      <c r="S388" s="176"/>
      <c r="T388" s="176"/>
    </row>
    <row r="389" spans="1:21" ht="63.75" customHeight="1" x14ac:dyDescent="0.25">
      <c r="A389" s="407"/>
      <c r="B389" s="228" t="s">
        <v>748</v>
      </c>
      <c r="C389" s="198">
        <f t="shared" si="73"/>
        <v>2966</v>
      </c>
      <c r="D389" s="392"/>
      <c r="E389" s="392"/>
      <c r="F389" s="392">
        <f>SUM(F390:F391)</f>
        <v>2966</v>
      </c>
      <c r="G389" s="392"/>
      <c r="H389" s="392"/>
      <c r="I389" s="162">
        <f t="shared" si="74"/>
        <v>2959.732</v>
      </c>
      <c r="J389" s="176"/>
      <c r="K389" s="176"/>
      <c r="L389" s="176">
        <f>SUM(L390:L391)</f>
        <v>2959.732</v>
      </c>
      <c r="M389" s="176"/>
      <c r="N389" s="176"/>
      <c r="O389" s="162">
        <f t="shared" si="72"/>
        <v>1059.732</v>
      </c>
      <c r="P389" s="176"/>
      <c r="Q389" s="176"/>
      <c r="R389" s="176">
        <f>SUM(R390:R391)</f>
        <v>1059.732</v>
      </c>
      <c r="S389" s="176"/>
      <c r="T389" s="176"/>
    </row>
    <row r="390" spans="1:21" x14ac:dyDescent="0.25">
      <c r="A390" s="407"/>
      <c r="B390" s="226" t="s">
        <v>749</v>
      </c>
      <c r="C390" s="198">
        <f t="shared" si="73"/>
        <v>2500</v>
      </c>
      <c r="D390" s="392"/>
      <c r="E390" s="392"/>
      <c r="F390" s="283">
        <v>2500</v>
      </c>
      <c r="G390" s="392"/>
      <c r="H390" s="392"/>
      <c r="I390" s="162">
        <f t="shared" si="74"/>
        <v>1900</v>
      </c>
      <c r="J390" s="176"/>
      <c r="K390" s="176"/>
      <c r="L390" s="176">
        <v>1900</v>
      </c>
      <c r="M390" s="176"/>
      <c r="N390" s="176"/>
      <c r="O390" s="162">
        <f t="shared" si="72"/>
        <v>0</v>
      </c>
      <c r="P390" s="176"/>
      <c r="Q390" s="176"/>
      <c r="R390" s="176">
        <v>0</v>
      </c>
      <c r="S390" s="176"/>
      <c r="T390" s="176"/>
    </row>
    <row r="391" spans="1:21" x14ac:dyDescent="0.25">
      <c r="A391" s="407"/>
      <c r="B391" s="226" t="s">
        <v>750</v>
      </c>
      <c r="C391" s="198">
        <f t="shared" si="73"/>
        <v>466</v>
      </c>
      <c r="D391" s="392"/>
      <c r="E391" s="392"/>
      <c r="F391" s="283">
        <v>466</v>
      </c>
      <c r="G391" s="392"/>
      <c r="H391" s="392"/>
      <c r="I391" s="162">
        <f>SUM(J391:N391)+85.982</f>
        <v>1145.7139999999999</v>
      </c>
      <c r="J391" s="176"/>
      <c r="K391" s="176"/>
      <c r="L391" s="176">
        <f>973.75+85.982</f>
        <v>1059.732</v>
      </c>
      <c r="M391" s="176"/>
      <c r="N391" s="176"/>
      <c r="O391" s="162">
        <f t="shared" si="72"/>
        <v>1059.732</v>
      </c>
      <c r="P391" s="176"/>
      <c r="Q391" s="176"/>
      <c r="R391" s="176">
        <f>973.75+85.982</f>
        <v>1059.732</v>
      </c>
      <c r="S391" s="176"/>
      <c r="T391" s="176"/>
    </row>
    <row r="392" spans="1:21" s="323" customFormat="1" hidden="1" x14ac:dyDescent="0.25">
      <c r="A392" s="407"/>
      <c r="B392" s="226"/>
      <c r="C392" s="198"/>
      <c r="D392" s="392"/>
      <c r="E392" s="392"/>
      <c r="F392" s="283"/>
      <c r="G392" s="392"/>
      <c r="H392" s="392"/>
      <c r="I392" s="162">
        <f t="shared" si="74"/>
        <v>0</v>
      </c>
      <c r="J392" s="176"/>
      <c r="K392" s="176"/>
      <c r="L392" s="176"/>
      <c r="M392" s="176"/>
      <c r="N392" s="176"/>
      <c r="O392" s="162"/>
      <c r="P392" s="176"/>
      <c r="Q392" s="176"/>
      <c r="R392" s="176"/>
      <c r="S392" s="176"/>
      <c r="T392" s="176"/>
    </row>
    <row r="393" spans="1:21" ht="47.25" x14ac:dyDescent="0.25">
      <c r="A393" s="407"/>
      <c r="B393" s="229" t="s">
        <v>833</v>
      </c>
      <c r="C393" s="198">
        <f t="shared" si="73"/>
        <v>0</v>
      </c>
      <c r="D393" s="392"/>
      <c r="E393" s="392"/>
      <c r="F393" s="392"/>
      <c r="G393" s="392"/>
      <c r="H393" s="392"/>
      <c r="I393" s="162">
        <f t="shared" si="74"/>
        <v>0</v>
      </c>
      <c r="J393" s="176"/>
      <c r="K393" s="176"/>
      <c r="L393" s="176"/>
      <c r="M393" s="176"/>
      <c r="N393" s="176"/>
      <c r="O393" s="162">
        <f t="shared" si="72"/>
        <v>0</v>
      </c>
      <c r="P393" s="176"/>
      <c r="Q393" s="176"/>
      <c r="R393" s="176"/>
      <c r="S393" s="176"/>
      <c r="T393" s="176"/>
    </row>
    <row r="394" spans="1:21" ht="31.5" x14ac:dyDescent="0.25">
      <c r="A394" s="407"/>
      <c r="B394" s="230" t="s">
        <v>751</v>
      </c>
      <c r="C394" s="198">
        <f t="shared" si="73"/>
        <v>764</v>
      </c>
      <c r="D394" s="392"/>
      <c r="E394" s="392"/>
      <c r="F394" s="392">
        <f>SUM(F395)</f>
        <v>764</v>
      </c>
      <c r="G394" s="392"/>
      <c r="H394" s="392"/>
      <c r="I394" s="162">
        <f t="shared" si="74"/>
        <v>534</v>
      </c>
      <c r="J394" s="176"/>
      <c r="K394" s="176"/>
      <c r="L394" s="176">
        <f>SUM(L395)</f>
        <v>534</v>
      </c>
      <c r="M394" s="176"/>
      <c r="N394" s="176"/>
      <c r="O394" s="162">
        <f t="shared" si="72"/>
        <v>534</v>
      </c>
      <c r="P394" s="176"/>
      <c r="Q394" s="176"/>
      <c r="R394" s="176">
        <f>SUM(R395)</f>
        <v>534</v>
      </c>
      <c r="S394" s="176"/>
      <c r="T394" s="176"/>
    </row>
    <row r="395" spans="1:21" x14ac:dyDescent="0.25">
      <c r="A395" s="407"/>
      <c r="B395" s="195" t="s">
        <v>752</v>
      </c>
      <c r="C395" s="198">
        <f t="shared" si="73"/>
        <v>764</v>
      </c>
      <c r="D395" s="392"/>
      <c r="E395" s="392"/>
      <c r="F395" s="284">
        <v>764</v>
      </c>
      <c r="G395" s="392"/>
      <c r="H395" s="392"/>
      <c r="I395" s="162">
        <f t="shared" si="74"/>
        <v>534</v>
      </c>
      <c r="J395" s="176"/>
      <c r="K395" s="176"/>
      <c r="L395" s="176">
        <v>534</v>
      </c>
      <c r="M395" s="176"/>
      <c r="N395" s="176"/>
      <c r="O395" s="162">
        <f t="shared" si="72"/>
        <v>534</v>
      </c>
      <c r="P395" s="176"/>
      <c r="Q395" s="176"/>
      <c r="R395" s="176">
        <v>534</v>
      </c>
      <c r="S395" s="176"/>
      <c r="T395" s="176"/>
    </row>
    <row r="396" spans="1:21" ht="47.25" x14ac:dyDescent="0.25">
      <c r="A396" s="407"/>
      <c r="B396" s="231" t="s">
        <v>753</v>
      </c>
      <c r="C396" s="198">
        <f t="shared" si="73"/>
        <v>0</v>
      </c>
      <c r="D396" s="392"/>
      <c r="E396" s="392"/>
      <c r="F396" s="392"/>
      <c r="G396" s="392"/>
      <c r="H396" s="392"/>
      <c r="I396" s="162">
        <f t="shared" si="74"/>
        <v>0</v>
      </c>
      <c r="J396" s="176"/>
      <c r="K396" s="176"/>
      <c r="L396" s="176"/>
      <c r="M396" s="176"/>
      <c r="N396" s="176"/>
      <c r="O396" s="162">
        <f t="shared" si="72"/>
        <v>0</v>
      </c>
      <c r="P396" s="176"/>
      <c r="Q396" s="176"/>
      <c r="R396" s="176"/>
      <c r="S396" s="176"/>
      <c r="T396" s="176"/>
    </row>
    <row r="397" spans="1:21" ht="31.5" x14ac:dyDescent="0.25">
      <c r="A397" s="407"/>
      <c r="B397" s="193" t="s">
        <v>754</v>
      </c>
      <c r="C397" s="198">
        <f t="shared" si="73"/>
        <v>29069.7</v>
      </c>
      <c r="D397" s="236"/>
      <c r="E397" s="236"/>
      <c r="F397" s="236">
        <f>SUM(F398+F400)+F404</f>
        <v>29063.200000000001</v>
      </c>
      <c r="G397" s="236"/>
      <c r="H397" s="236">
        <f>SUM(H398+H400)+H404</f>
        <v>6.5</v>
      </c>
      <c r="I397" s="162">
        <f t="shared" si="74"/>
        <v>35390.229119999996</v>
      </c>
      <c r="J397" s="176">
        <v>100</v>
      </c>
      <c r="K397" s="176">
        <v>8.6999999999999993</v>
      </c>
      <c r="L397" s="176">
        <f>SUM(L398+L400)+L404</f>
        <v>35200.929120000001</v>
      </c>
      <c r="M397" s="176">
        <f>SUM(M398+M400)+M404</f>
        <v>0</v>
      </c>
      <c r="N397" s="176">
        <f>SUM(N398+N400)+N404</f>
        <v>80.599999999999994</v>
      </c>
      <c r="O397" s="162">
        <f>SUM(P397:T397)</f>
        <v>35390.231999999996</v>
      </c>
      <c r="P397" s="176">
        <v>100</v>
      </c>
      <c r="Q397" s="176">
        <v>8.6999999999999993</v>
      </c>
      <c r="R397" s="176">
        <f>SUM(R398+R400)+R404</f>
        <v>35200.932000000001</v>
      </c>
      <c r="T397" s="176">
        <f>SUM(T398+S400)+S404</f>
        <v>80.599999999999994</v>
      </c>
    </row>
    <row r="398" spans="1:21" ht="72" customHeight="1" x14ac:dyDescent="0.25">
      <c r="A398" s="407"/>
      <c r="B398" s="225" t="s">
        <v>755</v>
      </c>
      <c r="C398" s="198">
        <f t="shared" si="73"/>
        <v>28399.7</v>
      </c>
      <c r="D398" s="392"/>
      <c r="E398" s="392"/>
      <c r="F398" s="392">
        <f>SUM(F399)</f>
        <v>28393.200000000001</v>
      </c>
      <c r="G398" s="392"/>
      <c r="H398" s="392">
        <f>SUM(H399)</f>
        <v>6.5</v>
      </c>
      <c r="I398" s="162">
        <f t="shared" si="74"/>
        <v>33736.837</v>
      </c>
      <c r="J398" s="176"/>
      <c r="K398" s="176"/>
      <c r="L398" s="176">
        <f>SUM(L399)</f>
        <v>33656.237000000001</v>
      </c>
      <c r="M398" s="176">
        <f>SUM(M399)</f>
        <v>0</v>
      </c>
      <c r="N398" s="176">
        <f>SUM(N399)</f>
        <v>80.599999999999994</v>
      </c>
      <c r="O398" s="162">
        <f>SUM(P398:T398)</f>
        <v>33736.839999999997</v>
      </c>
      <c r="P398" s="176"/>
      <c r="Q398" s="176"/>
      <c r="R398" s="405">
        <f>R399</f>
        <v>33656.239999999998</v>
      </c>
      <c r="T398" s="176">
        <f>T399</f>
        <v>80.599999999999994</v>
      </c>
    </row>
    <row r="399" spans="1:21" ht="66" customHeight="1" x14ac:dyDescent="0.25">
      <c r="A399" s="407"/>
      <c r="B399" s="226" t="s">
        <v>755</v>
      </c>
      <c r="C399" s="198">
        <f t="shared" si="73"/>
        <v>28399.7</v>
      </c>
      <c r="D399" s="392"/>
      <c r="E399" s="392"/>
      <c r="F399" s="282">
        <v>28393.200000000001</v>
      </c>
      <c r="G399" s="392"/>
      <c r="H399" s="282">
        <v>6.5</v>
      </c>
      <c r="I399" s="162">
        <f t="shared" si="74"/>
        <v>33736.837</v>
      </c>
      <c r="J399" s="176"/>
      <c r="K399" s="176"/>
      <c r="L399" s="405">
        <v>33656.237000000001</v>
      </c>
      <c r="M399" s="176"/>
      <c r="N399" s="176">
        <v>80.599999999999994</v>
      </c>
      <c r="O399" s="162">
        <f>SUM(P399:T399)</f>
        <v>33736.839999999997</v>
      </c>
      <c r="P399" s="176"/>
      <c r="Q399" s="176"/>
      <c r="R399" s="405">
        <v>33656.239999999998</v>
      </c>
      <c r="T399" s="176">
        <v>80.599999999999994</v>
      </c>
      <c r="U399" s="149" t="s">
        <v>937</v>
      </c>
    </row>
    <row r="400" spans="1:21" ht="50.25" customHeight="1" x14ac:dyDescent="0.25">
      <c r="A400" s="407"/>
      <c r="B400" s="232" t="s">
        <v>756</v>
      </c>
      <c r="C400" s="198">
        <f t="shared" si="73"/>
        <v>650</v>
      </c>
      <c r="D400" s="392"/>
      <c r="E400" s="392"/>
      <c r="F400" s="392">
        <f>SUM(F401:F402)</f>
        <v>650</v>
      </c>
      <c r="G400" s="392"/>
      <c r="H400" s="392"/>
      <c r="I400" s="162">
        <f t="shared" si="74"/>
        <v>1524.6921200000002</v>
      </c>
      <c r="J400" s="176"/>
      <c r="K400" s="176"/>
      <c r="L400" s="176">
        <f>SUM(L401:L402)+L403</f>
        <v>1524.6921200000002</v>
      </c>
      <c r="M400" s="176"/>
      <c r="N400" s="176"/>
      <c r="O400" s="162">
        <f t="shared" si="72"/>
        <v>1524.692</v>
      </c>
      <c r="P400" s="176"/>
      <c r="Q400" s="176"/>
      <c r="R400" s="176">
        <f>SUM(R401:R402)</f>
        <v>1524.692</v>
      </c>
      <c r="S400" s="176"/>
      <c r="T400" s="176"/>
    </row>
    <row r="401" spans="1:26" x14ac:dyDescent="0.25">
      <c r="A401" s="407"/>
      <c r="B401" s="196" t="s">
        <v>757</v>
      </c>
      <c r="C401" s="198">
        <f t="shared" si="73"/>
        <v>500</v>
      </c>
      <c r="D401" s="392"/>
      <c r="E401" s="392"/>
      <c r="F401" s="285">
        <v>500</v>
      </c>
      <c r="G401" s="392"/>
      <c r="H401" s="392"/>
      <c r="I401" s="162">
        <f t="shared" si="74"/>
        <v>1375.8050000000001</v>
      </c>
      <c r="J401" s="176"/>
      <c r="K401" s="176"/>
      <c r="L401" s="176">
        <v>1375.8050000000001</v>
      </c>
      <c r="M401" s="176"/>
      <c r="N401" s="176"/>
      <c r="O401" s="162">
        <f t="shared" si="72"/>
        <v>1375.8050000000001</v>
      </c>
      <c r="P401" s="176"/>
      <c r="Q401" s="176"/>
      <c r="R401" s="176">
        <v>1375.8050000000001</v>
      </c>
      <c r="S401" s="176"/>
      <c r="T401" s="176"/>
    </row>
    <row r="402" spans="1:26" ht="47.25" x14ac:dyDescent="0.25">
      <c r="A402" s="407"/>
      <c r="B402" s="391" t="s">
        <v>758</v>
      </c>
      <c r="C402" s="198">
        <f t="shared" si="73"/>
        <v>150</v>
      </c>
      <c r="D402" s="392"/>
      <c r="E402" s="392"/>
      <c r="F402" s="283">
        <v>150</v>
      </c>
      <c r="G402" s="392"/>
      <c r="H402" s="392"/>
      <c r="I402" s="162">
        <f t="shared" si="74"/>
        <v>148.88712000000001</v>
      </c>
      <c r="J402" s="176"/>
      <c r="K402" s="176"/>
      <c r="L402" s="176">
        <v>148.88712000000001</v>
      </c>
      <c r="M402" s="176"/>
      <c r="N402" s="176"/>
      <c r="O402" s="162">
        <f t="shared" si="72"/>
        <v>148.887</v>
      </c>
      <c r="P402" s="176"/>
      <c r="Q402" s="176"/>
      <c r="R402" s="176">
        <v>148.887</v>
      </c>
      <c r="S402" s="176"/>
      <c r="T402" s="176"/>
    </row>
    <row r="403" spans="1:26" s="323" customFormat="1" ht="31.5" x14ac:dyDescent="0.25">
      <c r="A403" s="407"/>
      <c r="B403" s="207" t="s">
        <v>1097</v>
      </c>
      <c r="C403" s="198">
        <f t="shared" si="73"/>
        <v>0</v>
      </c>
      <c r="D403" s="392"/>
      <c r="E403" s="392"/>
      <c r="F403" s="283"/>
      <c r="G403" s="392"/>
      <c r="H403" s="392"/>
      <c r="I403" s="162">
        <f t="shared" si="74"/>
        <v>108.7</v>
      </c>
      <c r="J403" s="176">
        <v>100</v>
      </c>
      <c r="K403" s="176">
        <v>8.6999999999999993</v>
      </c>
      <c r="L403" s="176">
        <v>0</v>
      </c>
      <c r="M403" s="176"/>
      <c r="N403" s="176"/>
      <c r="O403" s="162"/>
      <c r="P403" s="176">
        <v>100</v>
      </c>
      <c r="Q403" s="176">
        <v>8.6999999999999993</v>
      </c>
      <c r="R403" s="176">
        <v>0</v>
      </c>
      <c r="S403" s="176"/>
      <c r="T403" s="176"/>
    </row>
    <row r="404" spans="1:26" ht="31.5" x14ac:dyDescent="0.25">
      <c r="A404" s="407"/>
      <c r="B404" s="232" t="s">
        <v>759</v>
      </c>
      <c r="C404" s="198">
        <f t="shared" si="73"/>
        <v>20</v>
      </c>
      <c r="D404" s="392"/>
      <c r="E404" s="392"/>
      <c r="F404" s="278">
        <v>20</v>
      </c>
      <c r="G404" s="392"/>
      <c r="H404" s="392"/>
      <c r="I404" s="162">
        <f t="shared" si="74"/>
        <v>20</v>
      </c>
      <c r="J404" s="176"/>
      <c r="K404" s="176"/>
      <c r="L404" s="176">
        <v>20</v>
      </c>
      <c r="M404" s="176"/>
      <c r="N404" s="176"/>
      <c r="O404" s="162">
        <f t="shared" si="72"/>
        <v>20</v>
      </c>
      <c r="P404" s="176"/>
      <c r="Q404" s="176"/>
      <c r="R404" s="176">
        <v>20</v>
      </c>
      <c r="S404" s="176"/>
      <c r="T404" s="176"/>
    </row>
    <row r="405" spans="1:26" ht="31.5" x14ac:dyDescent="0.25">
      <c r="A405" s="407"/>
      <c r="B405" s="193" t="s">
        <v>380</v>
      </c>
      <c r="C405" s="198">
        <f t="shared" si="73"/>
        <v>50</v>
      </c>
      <c r="D405" s="236"/>
      <c r="E405" s="236"/>
      <c r="F405" s="236">
        <f>SUM(F406:F406)</f>
        <v>50</v>
      </c>
      <c r="G405" s="236"/>
      <c r="H405" s="236"/>
      <c r="I405" s="162">
        <f t="shared" si="74"/>
        <v>50</v>
      </c>
      <c r="J405" s="176"/>
      <c r="K405" s="176"/>
      <c r="L405" s="176">
        <v>50</v>
      </c>
      <c r="M405" s="176"/>
      <c r="N405" s="176"/>
      <c r="O405" s="162">
        <f t="shared" si="72"/>
        <v>50</v>
      </c>
      <c r="P405" s="176"/>
      <c r="Q405" s="176"/>
      <c r="R405" s="176">
        <f>R406</f>
        <v>50</v>
      </c>
      <c r="S405" s="176"/>
      <c r="T405" s="176"/>
    </row>
    <row r="406" spans="1:26" ht="31.5" x14ac:dyDescent="0.25">
      <c r="A406" s="407"/>
      <c r="B406" s="233" t="s">
        <v>760</v>
      </c>
      <c r="C406" s="198">
        <f t="shared" si="73"/>
        <v>50</v>
      </c>
      <c r="D406" s="176"/>
      <c r="E406" s="176"/>
      <c r="F406" s="284">
        <v>50</v>
      </c>
      <c r="G406" s="176"/>
      <c r="H406" s="176"/>
      <c r="I406" s="162">
        <f t="shared" si="74"/>
        <v>50</v>
      </c>
      <c r="J406" s="176"/>
      <c r="K406" s="176"/>
      <c r="L406" s="176">
        <v>50</v>
      </c>
      <c r="M406" s="176"/>
      <c r="N406" s="176"/>
      <c r="O406" s="162">
        <f t="shared" si="72"/>
        <v>50</v>
      </c>
      <c r="P406" s="176"/>
      <c r="Q406" s="176"/>
      <c r="R406" s="176">
        <v>50</v>
      </c>
      <c r="S406" s="176"/>
      <c r="T406" s="176"/>
    </row>
    <row r="407" spans="1:26" s="596" customFormat="1" ht="48" x14ac:dyDescent="0.3">
      <c r="A407" s="591">
        <v>21</v>
      </c>
      <c r="B407" s="647" t="s">
        <v>1394</v>
      </c>
      <c r="C407" s="648">
        <f>SUM(C408)</f>
        <v>78755.599999999991</v>
      </c>
      <c r="D407" s="648">
        <f t="shared" ref="D407:T409" si="75">SUM(D408)</f>
        <v>71228.56</v>
      </c>
      <c r="E407" s="648">
        <f t="shared" si="75"/>
        <v>5419.56</v>
      </c>
      <c r="F407" s="648">
        <f t="shared" si="75"/>
        <v>774.22</v>
      </c>
      <c r="G407" s="648">
        <f t="shared" si="75"/>
        <v>0</v>
      </c>
      <c r="H407" s="648">
        <f t="shared" si="75"/>
        <v>1333.26</v>
      </c>
      <c r="I407" s="648">
        <f t="shared" si="75"/>
        <v>77456.342700000008</v>
      </c>
      <c r="J407" s="648">
        <f t="shared" si="75"/>
        <v>70053.472210000007</v>
      </c>
      <c r="K407" s="648">
        <f t="shared" si="75"/>
        <v>5330.1549999999997</v>
      </c>
      <c r="L407" s="648">
        <f t="shared" si="75"/>
        <v>761.45078000000001</v>
      </c>
      <c r="M407" s="648">
        <f t="shared" si="75"/>
        <v>0</v>
      </c>
      <c r="N407" s="648">
        <f t="shared" si="75"/>
        <v>1311.2647099999999</v>
      </c>
      <c r="O407" s="648">
        <f t="shared" si="75"/>
        <v>77456.337209999998</v>
      </c>
      <c r="P407" s="648">
        <f t="shared" si="75"/>
        <v>70053.472210000007</v>
      </c>
      <c r="Q407" s="648">
        <f t="shared" si="75"/>
        <v>5330.1549999999997</v>
      </c>
      <c r="R407" s="648">
        <f t="shared" si="75"/>
        <v>761.45</v>
      </c>
      <c r="S407" s="648">
        <f t="shared" si="75"/>
        <v>0</v>
      </c>
      <c r="T407" s="648">
        <f t="shared" si="75"/>
        <v>1311.26</v>
      </c>
      <c r="U407" s="594">
        <f>I407/4*4</f>
        <v>77456.342700000008</v>
      </c>
      <c r="V407" s="595">
        <f>O407/U407*100</f>
        <v>99.999992912136278</v>
      </c>
      <c r="Y407" s="597">
        <f>I407-L407</f>
        <v>76694.891920000009</v>
      </c>
      <c r="Z407" s="597">
        <f>Y407/I407*100</f>
        <v>99.01692908100604</v>
      </c>
    </row>
    <row r="408" spans="1:26" ht="52.5" customHeight="1" x14ac:dyDescent="0.25">
      <c r="B408" s="235" t="s">
        <v>761</v>
      </c>
      <c r="C408" s="198">
        <f>SUM(C409)</f>
        <v>78755.599999999991</v>
      </c>
      <c r="D408" s="190">
        <f>SUM(D409)</f>
        <v>71228.56</v>
      </c>
      <c r="E408" s="190">
        <f>SUM(E409)</f>
        <v>5419.56</v>
      </c>
      <c r="F408" s="190">
        <f t="shared" si="75"/>
        <v>774.22</v>
      </c>
      <c r="G408" s="190">
        <f t="shared" si="75"/>
        <v>0</v>
      </c>
      <c r="H408" s="190">
        <f>SUM(H409)</f>
        <v>1333.26</v>
      </c>
      <c r="I408" s="162">
        <f>SUM(J408:N408)</f>
        <v>77456.342700000008</v>
      </c>
      <c r="J408" s="190">
        <f t="shared" ref="J408:L409" si="76">SUM(J409)</f>
        <v>70053.472210000007</v>
      </c>
      <c r="K408" s="190">
        <f t="shared" si="76"/>
        <v>5330.1549999999997</v>
      </c>
      <c r="L408" s="176">
        <f t="shared" si="76"/>
        <v>761.45078000000001</v>
      </c>
      <c r="M408" s="176"/>
      <c r="N408" s="190">
        <f>SUM(N409)</f>
        <v>1311.2647099999999</v>
      </c>
      <c r="O408" s="162">
        <f>SUM(P408:T408)</f>
        <v>77456.337209999998</v>
      </c>
      <c r="P408" s="190">
        <f t="shared" ref="P408:R409" si="77">SUM(P409)</f>
        <v>70053.472210000007</v>
      </c>
      <c r="Q408" s="190">
        <f t="shared" si="77"/>
        <v>5330.1549999999997</v>
      </c>
      <c r="R408" s="176">
        <f t="shared" si="77"/>
        <v>761.45</v>
      </c>
      <c r="S408" s="176"/>
      <c r="T408" s="190">
        <f>SUM(T409)</f>
        <v>1311.26</v>
      </c>
    </row>
    <row r="409" spans="1:26" ht="33" customHeight="1" x14ac:dyDescent="0.25">
      <c r="B409" s="189" t="s">
        <v>762</v>
      </c>
      <c r="C409" s="198">
        <f>SUM(C410)</f>
        <v>78755.599999999991</v>
      </c>
      <c r="D409" s="176">
        <f>SUM(D410)</f>
        <v>71228.56</v>
      </c>
      <c r="E409" s="176">
        <f>SUM(E410)</f>
        <v>5419.56</v>
      </c>
      <c r="F409" s="176">
        <f t="shared" si="75"/>
        <v>774.22</v>
      </c>
      <c r="G409" s="176">
        <f t="shared" si="75"/>
        <v>0</v>
      </c>
      <c r="H409" s="176">
        <f>SUM(H410)</f>
        <v>1333.26</v>
      </c>
      <c r="I409" s="162">
        <f>SUM(J409:N409)</f>
        <v>77456.342700000008</v>
      </c>
      <c r="J409" s="176">
        <f t="shared" si="76"/>
        <v>70053.472210000007</v>
      </c>
      <c r="K409" s="176">
        <f t="shared" si="76"/>
        <v>5330.1549999999997</v>
      </c>
      <c r="L409" s="176">
        <f t="shared" si="76"/>
        <v>761.45078000000001</v>
      </c>
      <c r="M409" s="176"/>
      <c r="N409" s="176">
        <f>SUM(N410)</f>
        <v>1311.2647099999999</v>
      </c>
      <c r="O409" s="162">
        <f>SUM(P409:T409)</f>
        <v>77456.337209999998</v>
      </c>
      <c r="P409" s="176">
        <f t="shared" si="77"/>
        <v>70053.472210000007</v>
      </c>
      <c r="Q409" s="176">
        <f t="shared" si="77"/>
        <v>5330.1549999999997</v>
      </c>
      <c r="R409" s="176">
        <f t="shared" si="77"/>
        <v>761.45</v>
      </c>
      <c r="S409" s="176"/>
      <c r="T409" s="176">
        <f>SUM(T410)</f>
        <v>1311.26</v>
      </c>
    </row>
    <row r="410" spans="1:26" ht="114.75" customHeight="1" x14ac:dyDescent="0.25">
      <c r="B410" s="218" t="s">
        <v>763</v>
      </c>
      <c r="C410" s="198">
        <f>SUM(D410:H410)</f>
        <v>78755.599999999991</v>
      </c>
      <c r="D410" s="176">
        <f>SUM(D411:D411)</f>
        <v>71228.56</v>
      </c>
      <c r="E410" s="176">
        <f>SUM(E411:E411)</f>
        <v>5419.56</v>
      </c>
      <c r="F410" s="176">
        <f t="shared" ref="F410:G410" si="78">SUM(F411:F411)</f>
        <v>774.22</v>
      </c>
      <c r="G410" s="176">
        <f t="shared" si="78"/>
        <v>0</v>
      </c>
      <c r="H410" s="176">
        <f>SUM(H411:H411)</f>
        <v>1333.26</v>
      </c>
      <c r="I410" s="162">
        <f>SUM(J410:N410)</f>
        <v>77456.342700000008</v>
      </c>
      <c r="J410" s="176">
        <f>SUM(J411:J411)</f>
        <v>70053.472210000007</v>
      </c>
      <c r="K410" s="176">
        <f>SUM(K411:K411)</f>
        <v>5330.1549999999997</v>
      </c>
      <c r="L410" s="176">
        <f>SUM(L411:L411)</f>
        <v>761.45078000000001</v>
      </c>
      <c r="M410" s="176"/>
      <c r="N410" s="176">
        <f>SUM(N411:N411)</f>
        <v>1311.2647099999999</v>
      </c>
      <c r="O410" s="162">
        <f>SUM(P410:T410)</f>
        <v>77456.337209999998</v>
      </c>
      <c r="P410" s="176">
        <f>SUM(P411:P411)</f>
        <v>70053.472210000007</v>
      </c>
      <c r="Q410" s="176">
        <f>SUM(Q411:Q411)</f>
        <v>5330.1549999999997</v>
      </c>
      <c r="R410" s="176">
        <f>SUM(R411:R411)</f>
        <v>761.45</v>
      </c>
      <c r="S410" s="176"/>
      <c r="T410" s="176">
        <f>SUM(T411:T411)</f>
        <v>1311.26</v>
      </c>
    </row>
    <row r="411" spans="1:26" ht="84" customHeight="1" x14ac:dyDescent="0.25">
      <c r="B411" s="388" t="s">
        <v>764</v>
      </c>
      <c r="C411" s="198">
        <f>SUM(D411:H411)</f>
        <v>78755.599999999991</v>
      </c>
      <c r="D411" s="176">
        <v>71228.56</v>
      </c>
      <c r="E411" s="176">
        <v>5419.56</v>
      </c>
      <c r="F411" s="176">
        <v>774.22</v>
      </c>
      <c r="G411" s="176"/>
      <c r="H411" s="176">
        <v>1333.26</v>
      </c>
      <c r="I411" s="162">
        <f>SUM(J411:N411)</f>
        <v>77456.342700000008</v>
      </c>
      <c r="J411" s="176">
        <v>70053.472210000007</v>
      </c>
      <c r="K411" s="176">
        <v>5330.1549999999997</v>
      </c>
      <c r="L411" s="269">
        <v>761.45078000000001</v>
      </c>
      <c r="M411" s="176"/>
      <c r="N411" s="176">
        <v>1311.2647099999999</v>
      </c>
      <c r="O411" s="162">
        <f>SUM(P411:T411)</f>
        <v>77456.337209999998</v>
      </c>
      <c r="P411" s="176">
        <v>70053.472210000007</v>
      </c>
      <c r="Q411" s="176">
        <v>5330.1549999999997</v>
      </c>
      <c r="R411" s="269">
        <v>761.45</v>
      </c>
      <c r="S411" s="176"/>
      <c r="T411" s="176">
        <v>1311.26</v>
      </c>
    </row>
    <row r="412" spans="1:26" s="596" customFormat="1" ht="47.25" x14ac:dyDescent="0.3">
      <c r="A412" s="649">
        <v>22</v>
      </c>
      <c r="B412" s="650" t="s">
        <v>1370</v>
      </c>
      <c r="C412" s="648">
        <v>0</v>
      </c>
      <c r="D412" s="651"/>
      <c r="E412" s="651"/>
      <c r="F412" s="651"/>
      <c r="G412" s="651"/>
      <c r="H412" s="651"/>
      <c r="I412" s="651">
        <v>0</v>
      </c>
      <c r="J412" s="651"/>
      <c r="K412" s="651"/>
      <c r="L412" s="651"/>
      <c r="M412" s="651"/>
      <c r="N412" s="651"/>
      <c r="O412" s="651">
        <v>0</v>
      </c>
      <c r="P412" s="651"/>
      <c r="Q412" s="651"/>
      <c r="R412" s="651"/>
      <c r="S412" s="651"/>
      <c r="T412" s="651"/>
      <c r="U412" s="594">
        <f>I412/4*3</f>
        <v>0</v>
      </c>
      <c r="V412" s="595"/>
      <c r="Y412" s="597">
        <f>I412-L412</f>
        <v>0</v>
      </c>
      <c r="Z412" s="597" t="e">
        <f>Y412/I412*100</f>
        <v>#DIV/0!</v>
      </c>
    </row>
    <row r="413" spans="1:26" ht="18.75" x14ac:dyDescent="0.3">
      <c r="B413" s="396" t="s">
        <v>765</v>
      </c>
      <c r="C413" s="198">
        <f t="shared" ref="C413:T413" si="79">SUM(C6+C20+C24+C35+C39+C56+C66+C77+C82+C91+C107+C113+C130+C169+C175+C190+C195+C201+C287+C376+C407+C412)</f>
        <v>2266262.5180000002</v>
      </c>
      <c r="D413" s="190">
        <f t="shared" si="79"/>
        <v>306167.44999999995</v>
      </c>
      <c r="E413" s="190">
        <f t="shared" si="79"/>
        <v>990352.15</v>
      </c>
      <c r="F413" s="190">
        <f t="shared" si="79"/>
        <v>607014.36800000002</v>
      </c>
      <c r="G413" s="190">
        <f t="shared" si="79"/>
        <v>5850</v>
      </c>
      <c r="H413" s="190">
        <f t="shared" si="79"/>
        <v>356878.55</v>
      </c>
      <c r="I413" s="198">
        <f t="shared" si="79"/>
        <v>2102524.7327899998</v>
      </c>
      <c r="J413" s="190">
        <f t="shared" si="79"/>
        <v>264786.46220000001</v>
      </c>
      <c r="K413" s="190">
        <f t="shared" si="79"/>
        <v>920691.1418199999</v>
      </c>
      <c r="L413" s="190">
        <f t="shared" si="79"/>
        <v>646247.7940600001</v>
      </c>
      <c r="M413" s="190">
        <f t="shared" si="79"/>
        <v>2600</v>
      </c>
      <c r="N413" s="190">
        <f t="shared" si="79"/>
        <v>268199.33471000002</v>
      </c>
      <c r="O413" s="198">
        <f t="shared" si="79"/>
        <v>2047982.1380799999</v>
      </c>
      <c r="P413" s="190">
        <f t="shared" si="79"/>
        <v>261711.74351</v>
      </c>
      <c r="Q413" s="190">
        <f t="shared" si="79"/>
        <v>919056.38350999996</v>
      </c>
      <c r="R413" s="190">
        <f t="shared" si="79"/>
        <v>628987.07406000001</v>
      </c>
      <c r="S413" s="190">
        <f t="shared" si="79"/>
        <v>2600</v>
      </c>
      <c r="T413" s="190">
        <f t="shared" si="79"/>
        <v>235626.93700000001</v>
      </c>
      <c r="U413" s="250">
        <f>I413/4*4</f>
        <v>2102524.7327899998</v>
      </c>
      <c r="V413" s="251">
        <f>O413/U413*100</f>
        <v>97.405852408802673</v>
      </c>
    </row>
    <row r="414" spans="1:26" s="728" customFormat="1" x14ac:dyDescent="0.25">
      <c r="M414" s="729"/>
    </row>
    <row r="415" spans="1:26" s="728" customFormat="1" hidden="1" x14ac:dyDescent="0.25">
      <c r="J415" s="728">
        <f>J413/I413*100</f>
        <v>12.593738283812469</v>
      </c>
      <c r="K415" s="728">
        <f>K413/I413*100</f>
        <v>43.789788888631278</v>
      </c>
      <c r="L415" s="728">
        <f>L413/I413*100</f>
        <v>30.736751106011713</v>
      </c>
      <c r="M415" s="728">
        <f>M413/I413*100</f>
        <v>0.12366085209137409</v>
      </c>
      <c r="N415" s="728">
        <f>N413/I413*100</f>
        <v>12.756060869453172</v>
      </c>
    </row>
    <row r="416" spans="1:26" s="728" customFormat="1" hidden="1" x14ac:dyDescent="0.25">
      <c r="R416" s="730">
        <f>R413+S413</f>
        <v>631587.07406000001</v>
      </c>
    </row>
    <row r="417" spans="6:18" s="728" customFormat="1" ht="36" hidden="1" customHeight="1" x14ac:dyDescent="0.25">
      <c r="L417" s="730">
        <f>L413+M413</f>
        <v>648847.7940600001</v>
      </c>
      <c r="M417" s="730">
        <f>M413+L413</f>
        <v>648847.7940600001</v>
      </c>
    </row>
    <row r="418" spans="6:18" s="728" customFormat="1" hidden="1" x14ac:dyDescent="0.25">
      <c r="F418" s="728">
        <v>607310.62</v>
      </c>
      <c r="I418" s="730">
        <f>K413+J413</f>
        <v>1185477.60402</v>
      </c>
      <c r="K418" s="731"/>
      <c r="L418" s="728">
        <v>626469.16700000002</v>
      </c>
      <c r="R418" s="728">
        <f>476503.87775-0.44095</f>
        <v>476503.43679999997</v>
      </c>
    </row>
    <row r="419" spans="6:18" s="728" customFormat="1" hidden="1" x14ac:dyDescent="0.25">
      <c r="P419" s="730">
        <f>P413+Q413</f>
        <v>1180768.12702</v>
      </c>
    </row>
    <row r="420" spans="6:18" s="728" customFormat="1" hidden="1" x14ac:dyDescent="0.25">
      <c r="F420" s="729">
        <f>F418-F413</f>
        <v>296.25199999997858</v>
      </c>
      <c r="L420" s="729">
        <f>L418-L413-1550-850-1333.26-20</f>
        <v>-23531.887060000085</v>
      </c>
      <c r="R420" s="729">
        <f>R418-R413-1550-850-637.36</f>
        <v>-155520.99726000003</v>
      </c>
    </row>
    <row r="421" spans="6:18" s="728" customFormat="1" hidden="1" x14ac:dyDescent="0.25">
      <c r="F421" s="729">
        <f>F420+75</f>
        <v>371.25199999997858</v>
      </c>
    </row>
    <row r="422" spans="6:18" s="728" customFormat="1" hidden="1" x14ac:dyDescent="0.25"/>
    <row r="423" spans="6:18" s="728" customFormat="1" hidden="1" x14ac:dyDescent="0.25"/>
    <row r="424" spans="6:18" s="728" customFormat="1" hidden="1" x14ac:dyDescent="0.25">
      <c r="I424" s="730">
        <f>I413</f>
        <v>2102524.7327899998</v>
      </c>
      <c r="J424" s="732">
        <v>264786.46220000001</v>
      </c>
      <c r="K424" s="732">
        <v>920691.1418199999</v>
      </c>
      <c r="L424" s="732">
        <v>646247.78406000009</v>
      </c>
      <c r="M424" s="732">
        <v>2600</v>
      </c>
      <c r="N424" s="732">
        <v>268199.33471000002</v>
      </c>
    </row>
    <row r="425" spans="6:18" s="728" customFormat="1" hidden="1" x14ac:dyDescent="0.25">
      <c r="J425" s="731">
        <f>J424/$I$424*100</f>
        <v>12.593738283812469</v>
      </c>
      <c r="K425" s="731">
        <f>K424/$I$424*100</f>
        <v>43.789788888631278</v>
      </c>
      <c r="L425" s="731">
        <f>L424/$I$424*100</f>
        <v>30.73675063039305</v>
      </c>
      <c r="M425" s="731">
        <f>M424/$I$424*100</f>
        <v>0.12366085209137409</v>
      </c>
      <c r="N425" s="731">
        <f>N424/$I$424*100</f>
        <v>12.756060869453172</v>
      </c>
      <c r="O425" s="728">
        <f>SUM(J425:N425)</f>
        <v>99.999999524381337</v>
      </c>
    </row>
    <row r="426" spans="6:18" s="728" customFormat="1" hidden="1" x14ac:dyDescent="0.25"/>
    <row r="427" spans="6:18" s="728" customFormat="1" hidden="1" x14ac:dyDescent="0.25">
      <c r="I427" s="728" t="s">
        <v>1193</v>
      </c>
    </row>
    <row r="428" spans="6:18" s="728" customFormat="1" hidden="1" x14ac:dyDescent="0.25">
      <c r="I428" s="728" t="s">
        <v>1194</v>
      </c>
    </row>
    <row r="429" spans="6:18" s="728" customFormat="1" hidden="1" x14ac:dyDescent="0.25">
      <c r="I429" s="728" t="s">
        <v>1195</v>
      </c>
    </row>
    <row r="430" spans="6:18" s="728" customFormat="1" hidden="1" x14ac:dyDescent="0.25">
      <c r="I430" s="728" t="s">
        <v>1197</v>
      </c>
    </row>
    <row r="431" spans="6:18" s="728" customFormat="1" hidden="1" x14ac:dyDescent="0.25">
      <c r="I431" s="728" t="s">
        <v>1196</v>
      </c>
    </row>
    <row r="432" spans="6:18" s="728" customFormat="1" hidden="1" x14ac:dyDescent="0.25"/>
    <row r="433" s="728" customFormat="1" hidden="1" x14ac:dyDescent="0.25"/>
    <row r="434" s="728" customFormat="1" hidden="1" x14ac:dyDescent="0.25"/>
    <row r="435" s="728" customFormat="1" hidden="1" x14ac:dyDescent="0.25"/>
    <row r="436" s="728" customFormat="1" hidden="1" x14ac:dyDescent="0.25"/>
    <row r="437" s="728" customFormat="1" hidden="1" x14ac:dyDescent="0.25"/>
    <row r="438" s="728" customFormat="1" hidden="1" x14ac:dyDescent="0.25"/>
    <row r="439" s="728" customFormat="1" hidden="1" x14ac:dyDescent="0.25"/>
    <row r="440" s="728" customFormat="1" hidden="1" x14ac:dyDescent="0.25"/>
    <row r="441" s="728" customFormat="1" hidden="1" x14ac:dyDescent="0.25"/>
    <row r="442" s="728" customFormat="1" hidden="1" x14ac:dyDescent="0.25"/>
    <row r="443" s="728" customFormat="1" hidden="1" x14ac:dyDescent="0.25"/>
    <row r="444" s="728" customFormat="1" hidden="1" x14ac:dyDescent="0.25"/>
    <row r="445" s="728" customFormat="1" hidden="1" x14ac:dyDescent="0.25"/>
    <row r="446" s="728" customFormat="1" hidden="1" x14ac:dyDescent="0.25"/>
    <row r="447" s="728" customFormat="1" hidden="1" x14ac:dyDescent="0.25"/>
    <row r="448" s="728" customFormat="1" hidden="1" x14ac:dyDescent="0.25"/>
    <row r="449" spans="4:13" s="728" customFormat="1" hidden="1" x14ac:dyDescent="0.25"/>
    <row r="450" spans="4:13" s="728" customFormat="1" hidden="1" x14ac:dyDescent="0.25"/>
    <row r="451" spans="4:13" s="728" customFormat="1" hidden="1" x14ac:dyDescent="0.25"/>
    <row r="452" spans="4:13" s="728" customFormat="1" hidden="1" x14ac:dyDescent="0.25"/>
    <row r="453" spans="4:13" s="728" customFormat="1" hidden="1" x14ac:dyDescent="0.25"/>
    <row r="454" spans="4:13" s="728" customFormat="1" hidden="1" x14ac:dyDescent="0.25"/>
    <row r="455" spans="4:13" s="728" customFormat="1" hidden="1" x14ac:dyDescent="0.25"/>
    <row r="456" spans="4:13" s="728" customFormat="1" hidden="1" x14ac:dyDescent="0.25"/>
    <row r="457" spans="4:13" s="728" customFormat="1" hidden="1" x14ac:dyDescent="0.25"/>
    <row r="458" spans="4:13" s="728" customFormat="1" hidden="1" x14ac:dyDescent="0.25"/>
    <row r="459" spans="4:13" s="728" customFormat="1" hidden="1" x14ac:dyDescent="0.25"/>
    <row r="460" spans="4:13" s="728" customFormat="1" hidden="1" x14ac:dyDescent="0.25"/>
    <row r="461" spans="4:13" s="728" customFormat="1" ht="18.75" x14ac:dyDescent="0.3">
      <c r="D461" s="733" t="s">
        <v>1416</v>
      </c>
      <c r="E461" s="733"/>
      <c r="G461" s="733"/>
      <c r="H461" s="733"/>
      <c r="I461" s="733"/>
      <c r="J461" s="733"/>
      <c r="K461" s="733" t="s">
        <v>1414</v>
      </c>
      <c r="L461" s="733"/>
      <c r="M461" s="733"/>
    </row>
    <row r="462" spans="4:13" s="728" customFormat="1" ht="18.75" x14ac:dyDescent="0.3">
      <c r="D462" s="733"/>
      <c r="E462" s="733"/>
      <c r="F462" s="733"/>
      <c r="G462" s="733"/>
      <c r="H462" s="733"/>
      <c r="I462" s="733"/>
      <c r="J462" s="733"/>
      <c r="K462" s="733"/>
      <c r="L462" s="733"/>
      <c r="M462" s="733"/>
    </row>
    <row r="463" spans="4:13" s="728" customFormat="1" ht="18.75" x14ac:dyDescent="0.3">
      <c r="D463" s="733" t="s">
        <v>1417</v>
      </c>
      <c r="E463" s="733"/>
      <c r="F463" s="733"/>
      <c r="G463" s="733"/>
      <c r="H463" s="733"/>
      <c r="I463" s="733"/>
      <c r="J463" s="733"/>
      <c r="K463" s="733"/>
      <c r="L463" s="733"/>
      <c r="M463" s="733"/>
    </row>
    <row r="464" spans="4:13" s="728" customFormat="1" ht="18.75" x14ac:dyDescent="0.3">
      <c r="D464" s="733"/>
      <c r="E464" s="733"/>
      <c r="F464" s="733"/>
      <c r="G464" s="733"/>
      <c r="H464" s="733"/>
      <c r="I464" s="733"/>
      <c r="J464" s="733"/>
      <c r="K464" s="733"/>
      <c r="L464" s="733"/>
      <c r="M464" s="733"/>
    </row>
    <row r="465" s="728" customFormat="1" x14ac:dyDescent="0.25"/>
    <row r="466" s="728" customFormat="1" x14ac:dyDescent="0.25"/>
    <row r="467" s="728" customFormat="1" x14ac:dyDescent="0.25"/>
    <row r="468" s="728" customFormat="1" x14ac:dyDescent="0.25"/>
    <row r="469" s="728" customFormat="1" x14ac:dyDescent="0.25"/>
    <row r="470" s="728" customFormat="1" x14ac:dyDescent="0.25"/>
    <row r="471" s="728" customFormat="1" x14ac:dyDescent="0.25"/>
    <row r="472" s="728" customFormat="1" x14ac:dyDescent="0.25"/>
    <row r="473" s="728" customFormat="1" x14ac:dyDescent="0.25"/>
    <row r="474" s="728" customFormat="1" x14ac:dyDescent="0.25"/>
    <row r="475" s="728" customFormat="1" x14ac:dyDescent="0.25"/>
    <row r="476" s="728" customFormat="1" x14ac:dyDescent="0.25"/>
    <row r="477" s="728" customFormat="1" x14ac:dyDescent="0.25"/>
    <row r="478" s="728" customFormat="1" x14ac:dyDescent="0.25"/>
    <row r="479" s="728" customFormat="1" x14ac:dyDescent="0.25"/>
    <row r="480" s="728" customFormat="1" x14ac:dyDescent="0.25"/>
    <row r="481" s="728" customFormat="1" x14ac:dyDescent="0.25"/>
    <row r="482" s="728" customFormat="1" x14ac:dyDescent="0.25"/>
    <row r="483" s="728" customFormat="1" x14ac:dyDescent="0.25"/>
    <row r="484" s="728" customFormat="1" x14ac:dyDescent="0.25"/>
    <row r="485" s="728" customFormat="1" x14ac:dyDescent="0.25"/>
    <row r="486" s="728" customFormat="1" x14ac:dyDescent="0.25"/>
    <row r="487" s="728" customFormat="1" x14ac:dyDescent="0.25"/>
    <row r="488" s="728" customFormat="1" x14ac:dyDescent="0.25"/>
    <row r="489" s="728" customFormat="1" x14ac:dyDescent="0.25"/>
    <row r="490" s="728" customFormat="1" x14ac:dyDescent="0.25"/>
    <row r="491" s="728" customFormat="1" x14ac:dyDescent="0.25"/>
    <row r="492" s="728" customFormat="1" x14ac:dyDescent="0.25"/>
    <row r="493" s="728" customFormat="1" x14ac:dyDescent="0.25"/>
    <row r="494" s="728" customFormat="1" x14ac:dyDescent="0.25"/>
    <row r="495" s="728" customFormat="1" x14ac:dyDescent="0.25"/>
    <row r="496" s="728" customFormat="1" x14ac:dyDescent="0.25"/>
    <row r="497" s="728" customFormat="1" x14ac:dyDescent="0.25"/>
    <row r="498" s="728" customFormat="1" x14ac:dyDescent="0.25"/>
    <row r="499" s="728" customFormat="1" x14ac:dyDescent="0.25"/>
    <row r="500" s="728" customFormat="1" x14ac:dyDescent="0.25"/>
    <row r="501" s="728" customFormat="1" x14ac:dyDescent="0.25"/>
    <row r="502" s="728" customFormat="1" x14ac:dyDescent="0.25"/>
    <row r="503" s="728" customFormat="1" x14ac:dyDescent="0.25"/>
    <row r="504" s="728" customFormat="1" x14ac:dyDescent="0.25"/>
    <row r="505" s="728" customFormat="1" x14ac:dyDescent="0.25"/>
    <row r="506" s="728" customFormat="1" x14ac:dyDescent="0.25"/>
    <row r="507" s="728" customFormat="1" x14ac:dyDescent="0.25"/>
    <row r="508" s="728" customFormat="1" x14ac:dyDescent="0.25"/>
    <row r="509" s="728" customFormat="1" x14ac:dyDescent="0.25"/>
    <row r="510" s="728" customFormat="1" x14ac:dyDescent="0.25"/>
    <row r="511" s="728" customFormat="1" x14ac:dyDescent="0.25"/>
    <row r="512" s="728" customFormat="1" x14ac:dyDescent="0.25"/>
    <row r="513" s="728" customFormat="1" x14ac:dyDescent="0.25"/>
    <row r="514" s="728" customFormat="1" x14ac:dyDescent="0.25"/>
    <row r="515" s="728" customFormat="1" x14ac:dyDescent="0.25"/>
    <row r="516" s="728" customFormat="1" x14ac:dyDescent="0.25"/>
    <row r="517" s="728" customFormat="1" x14ac:dyDescent="0.25"/>
    <row r="518" s="728" customFormat="1" x14ac:dyDescent="0.25"/>
    <row r="519" s="728" customFormat="1" x14ac:dyDescent="0.25"/>
    <row r="520" s="728" customFormat="1" x14ac:dyDescent="0.25"/>
    <row r="521" s="728" customFormat="1" x14ac:dyDescent="0.25"/>
    <row r="522" s="728" customFormat="1" x14ac:dyDescent="0.25"/>
    <row r="523" s="728" customFormat="1" x14ac:dyDescent="0.25"/>
    <row r="524" s="728" customFormat="1" x14ac:dyDescent="0.25"/>
    <row r="525" s="728" customFormat="1" x14ac:dyDescent="0.25"/>
    <row r="526" s="728" customFormat="1" x14ac:dyDescent="0.25"/>
    <row r="527" s="728" customFormat="1" x14ac:dyDescent="0.25"/>
    <row r="528" s="728" customFormat="1" x14ac:dyDescent="0.25"/>
    <row r="529" s="728" customFormat="1" x14ac:dyDescent="0.25"/>
    <row r="530" s="728" customFormat="1" x14ac:dyDescent="0.25"/>
    <row r="531" s="728" customFormat="1" x14ac:dyDescent="0.25"/>
    <row r="532" s="728" customFormat="1" x14ac:dyDescent="0.25"/>
    <row r="533" s="728" customFormat="1" x14ac:dyDescent="0.25"/>
    <row r="534" s="728" customFormat="1" x14ac:dyDescent="0.25"/>
    <row r="535" s="728" customFormat="1" x14ac:dyDescent="0.25"/>
    <row r="536" s="728" customFormat="1" x14ac:dyDescent="0.25"/>
    <row r="537" s="728" customFormat="1" x14ac:dyDescent="0.25"/>
    <row r="538" s="728" customFormat="1" x14ac:dyDescent="0.25"/>
    <row r="539" s="728" customFormat="1" x14ac:dyDescent="0.25"/>
    <row r="540" s="728" customFormat="1" x14ac:dyDescent="0.25"/>
    <row r="541" s="728" customFormat="1" x14ac:dyDescent="0.25"/>
    <row r="542" s="728" customFormat="1" x14ac:dyDescent="0.25"/>
    <row r="543" s="728" customFormat="1" x14ac:dyDescent="0.25"/>
    <row r="544" s="728" customFormat="1" x14ac:dyDescent="0.25"/>
    <row r="545" s="728" customFormat="1" x14ac:dyDescent="0.25"/>
    <row r="546" s="728" customFormat="1" x14ac:dyDescent="0.25"/>
    <row r="547" s="728" customFormat="1" x14ac:dyDescent="0.25"/>
  </sheetData>
  <autoFilter ref="A5:Z413"/>
  <mergeCells count="9">
    <mergeCell ref="B1:T1"/>
    <mergeCell ref="A4:A5"/>
    <mergeCell ref="B4:B5"/>
    <mergeCell ref="C4:H4"/>
    <mergeCell ref="I4:N4"/>
    <mergeCell ref="O4:T4"/>
    <mergeCell ref="C3:H3"/>
    <mergeCell ref="I3:N3"/>
    <mergeCell ref="O3:T3"/>
  </mergeCells>
  <conditionalFormatting sqref="B203:B212 B215:B240 B249:B276 B278:B286">
    <cfRule type="cellIs" dxfId="7" priority="4" stopIfTrue="1" operator="equal">
      <formula>0</formula>
    </cfRule>
  </conditionalFormatting>
  <conditionalFormatting sqref="B213:B214">
    <cfRule type="cellIs" dxfId="6" priority="3" stopIfTrue="1" operator="equal">
      <formula>0</formula>
    </cfRule>
  </conditionalFormatting>
  <conditionalFormatting sqref="B241:B248">
    <cfRule type="cellIs" dxfId="5" priority="2" stopIfTrue="1" operator="equal">
      <formula>0</formula>
    </cfRule>
  </conditionalFormatting>
  <conditionalFormatting sqref="B277">
    <cfRule type="cellIs" dxfId="4" priority="1" stopIfTrue="1" operator="equal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9" scale="39" fitToHeight="0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W12"/>
    </sheetView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W12"/>
    </sheetView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topLeftCell="A244" zoomScale="68" zoomScaleNormal="68" workbookViewId="0">
      <selection activeCell="H274" sqref="H274"/>
    </sheetView>
  </sheetViews>
  <sheetFormatPr defaultRowHeight="15.75" x14ac:dyDescent="0.25"/>
  <cols>
    <col min="1" max="1" width="5.7109375" style="318" customWidth="1"/>
    <col min="2" max="2" width="75.85546875" style="149" customWidth="1"/>
    <col min="3" max="3" width="16.42578125" style="149" customWidth="1"/>
    <col min="4" max="4" width="16.140625" style="149" customWidth="1"/>
    <col min="5" max="5" width="12.5703125" style="149" customWidth="1"/>
    <col min="6" max="6" width="15.85546875" style="241" hidden="1" customWidth="1"/>
    <col min="7" max="7" width="14.28515625" style="149" bestFit="1" customWidth="1"/>
    <col min="8" max="8" width="61.28515625" style="300" customWidth="1"/>
    <col min="9" max="9" width="32.5703125" style="149" customWidth="1"/>
    <col min="10" max="10" width="33.7109375" style="149" customWidth="1"/>
    <col min="11" max="16384" width="9.140625" style="149"/>
  </cols>
  <sheetData>
    <row r="1" spans="1:9" x14ac:dyDescent="0.25">
      <c r="A1" s="770" t="s">
        <v>766</v>
      </c>
      <c r="B1" s="771"/>
      <c r="C1" s="771"/>
      <c r="D1" s="771"/>
      <c r="E1" s="771"/>
      <c r="F1" s="772"/>
      <c r="G1" s="771"/>
      <c r="H1" s="771"/>
    </row>
    <row r="2" spans="1:9" x14ac:dyDescent="0.25">
      <c r="A2" s="770" t="s">
        <v>1400</v>
      </c>
      <c r="B2" s="771"/>
      <c r="C2" s="771"/>
      <c r="D2" s="771"/>
      <c r="E2" s="771"/>
      <c r="F2" s="772"/>
      <c r="G2" s="771"/>
      <c r="H2" s="771"/>
    </row>
    <row r="3" spans="1:9" x14ac:dyDescent="0.25">
      <c r="A3" s="770"/>
      <c r="B3" s="771"/>
      <c r="C3" s="771"/>
      <c r="D3" s="771"/>
      <c r="E3" s="771"/>
      <c r="F3" s="772"/>
      <c r="G3" s="771"/>
      <c r="H3" s="771"/>
    </row>
    <row r="4" spans="1:9" ht="110.25" x14ac:dyDescent="0.25">
      <c r="A4" s="317" t="s">
        <v>767</v>
      </c>
      <c r="B4" s="18" t="s">
        <v>768</v>
      </c>
      <c r="C4" s="18" t="s">
        <v>769</v>
      </c>
      <c r="D4" s="18" t="s">
        <v>770</v>
      </c>
      <c r="E4" s="18" t="s">
        <v>771</v>
      </c>
      <c r="F4" s="33" t="s">
        <v>887</v>
      </c>
      <c r="G4" s="18" t="s">
        <v>772</v>
      </c>
      <c r="H4" s="19" t="s">
        <v>773</v>
      </c>
      <c r="I4" s="18" t="s">
        <v>774</v>
      </c>
    </row>
    <row r="5" spans="1:9" s="624" customFormat="1" x14ac:dyDescent="0.25">
      <c r="A5" s="652">
        <v>1</v>
      </c>
      <c r="B5" s="626" t="s">
        <v>775</v>
      </c>
      <c r="C5" s="663">
        <f>SUM(C6+C11)</f>
        <v>2006.8900599999999</v>
      </c>
      <c r="D5" s="663">
        <f>SUM(D6+D11)</f>
        <v>2006.8899999999999</v>
      </c>
      <c r="E5" s="654">
        <f>SUM(D5/C5*100)</f>
        <v>99.999997010299609</v>
      </c>
      <c r="F5" s="655">
        <f>D5/(C5/4*3)*100</f>
        <v>133.33332934706615</v>
      </c>
      <c r="G5" s="654">
        <f>SUM(C5-D5)</f>
        <v>6.0000000075888238E-5</v>
      </c>
      <c r="H5" s="660"/>
      <c r="I5" s="631" t="s">
        <v>776</v>
      </c>
    </row>
    <row r="6" spans="1:9" s="359" customFormat="1" x14ac:dyDescent="0.25">
      <c r="A6" s="353"/>
      <c r="B6" s="490" t="s">
        <v>510</v>
      </c>
      <c r="C6" s="494">
        <f>SUM(C7:C10)</f>
        <v>1428.70506</v>
      </c>
      <c r="D6" s="494">
        <f>SUM(D7:D10)</f>
        <v>1428.7049999999999</v>
      </c>
      <c r="E6" s="356">
        <f>SUM(D6/C6)*100</f>
        <v>99.999995800392838</v>
      </c>
      <c r="F6" s="356"/>
      <c r="G6" s="356">
        <f>SUM(C6-D6)</f>
        <v>6.0000000075888238E-5</v>
      </c>
      <c r="H6" s="463"/>
      <c r="I6" s="358"/>
    </row>
    <row r="7" spans="1:9" s="359" customFormat="1" ht="81.75" customHeight="1" x14ac:dyDescent="0.25">
      <c r="A7" s="353"/>
      <c r="B7" s="399" t="s">
        <v>511</v>
      </c>
      <c r="C7" s="368">
        <v>750</v>
      </c>
      <c r="D7" s="368">
        <v>750</v>
      </c>
      <c r="E7" s="363">
        <f t="shared" ref="E7:E14" si="0">SUM(D7/C7*100)</f>
        <v>100</v>
      </c>
      <c r="F7" s="363"/>
      <c r="G7" s="363">
        <f t="shared" ref="G7:G14" si="1">SUM(C7-D7)</f>
        <v>0</v>
      </c>
      <c r="H7" s="357" t="s">
        <v>1290</v>
      </c>
      <c r="I7" s="358"/>
    </row>
    <row r="8" spans="1:9" s="359" customFormat="1" ht="34.5" customHeight="1" x14ac:dyDescent="0.25">
      <c r="A8" s="353"/>
      <c r="B8" s="399" t="s">
        <v>777</v>
      </c>
      <c r="C8" s="368">
        <v>26</v>
      </c>
      <c r="D8" s="368">
        <v>26</v>
      </c>
      <c r="E8" s="363">
        <f t="shared" si="0"/>
        <v>100</v>
      </c>
      <c r="F8" s="363"/>
      <c r="G8" s="363">
        <f t="shared" si="1"/>
        <v>0</v>
      </c>
      <c r="H8" s="357" t="s">
        <v>1011</v>
      </c>
      <c r="I8" s="358"/>
    </row>
    <row r="9" spans="1:9" s="359" customFormat="1" ht="51.75" customHeight="1" x14ac:dyDescent="0.25">
      <c r="A9" s="353"/>
      <c r="B9" s="399" t="s">
        <v>513</v>
      </c>
      <c r="C9" s="368">
        <v>162.09605999999999</v>
      </c>
      <c r="D9" s="368">
        <v>162.096</v>
      </c>
      <c r="E9" s="363">
        <f t="shared" si="0"/>
        <v>99.999962984911548</v>
      </c>
      <c r="F9" s="363"/>
      <c r="G9" s="363">
        <f>SUM(C9-D9)</f>
        <v>5.999999999062311E-5</v>
      </c>
      <c r="H9" s="481" t="s">
        <v>1100</v>
      </c>
      <c r="I9" s="358"/>
    </row>
    <row r="10" spans="1:9" s="359" customFormat="1" ht="135" customHeight="1" x14ac:dyDescent="0.25">
      <c r="A10" s="353"/>
      <c r="B10" s="399" t="s">
        <v>514</v>
      </c>
      <c r="C10" s="368">
        <v>490.60899999999998</v>
      </c>
      <c r="D10" s="368">
        <v>490.60899999999998</v>
      </c>
      <c r="E10" s="363">
        <f t="shared" si="0"/>
        <v>100</v>
      </c>
      <c r="F10" s="363"/>
      <c r="G10" s="363">
        <f t="shared" si="1"/>
        <v>0</v>
      </c>
      <c r="H10" s="357" t="s">
        <v>1101</v>
      </c>
      <c r="I10" s="358"/>
    </row>
    <row r="11" spans="1:9" s="359" customFormat="1" x14ac:dyDescent="0.25">
      <c r="A11" s="353"/>
      <c r="B11" s="364" t="s">
        <v>515</v>
      </c>
      <c r="C11" s="355">
        <f>SUM(C12:C14)</f>
        <v>578.18499999999995</v>
      </c>
      <c r="D11" s="355">
        <f>SUM(D12:D14)</f>
        <v>578.18499999999995</v>
      </c>
      <c r="E11" s="356">
        <f t="shared" si="0"/>
        <v>100</v>
      </c>
      <c r="F11" s="356"/>
      <c r="G11" s="356">
        <f t="shared" si="1"/>
        <v>0</v>
      </c>
      <c r="H11" s="357"/>
      <c r="I11" s="358"/>
    </row>
    <row r="12" spans="1:9" s="359" customFormat="1" ht="47.25" x14ac:dyDescent="0.25">
      <c r="A12" s="353"/>
      <c r="B12" s="399" t="s">
        <v>516</v>
      </c>
      <c r="C12" s="368">
        <v>160</v>
      </c>
      <c r="D12" s="368">
        <v>160</v>
      </c>
      <c r="E12" s="363">
        <f t="shared" si="0"/>
        <v>100</v>
      </c>
      <c r="F12" s="363"/>
      <c r="G12" s="363">
        <f t="shared" si="1"/>
        <v>0</v>
      </c>
      <c r="H12" s="357" t="s">
        <v>1102</v>
      </c>
      <c r="I12" s="358"/>
    </row>
    <row r="13" spans="1:9" s="359" customFormat="1" ht="72.75" customHeight="1" x14ac:dyDescent="0.25">
      <c r="A13" s="353"/>
      <c r="B13" s="399" t="s">
        <v>517</v>
      </c>
      <c r="C13" s="368">
        <v>386</v>
      </c>
      <c r="D13" s="368">
        <v>386</v>
      </c>
      <c r="E13" s="363">
        <f t="shared" si="0"/>
        <v>100</v>
      </c>
      <c r="F13" s="363"/>
      <c r="G13" s="363">
        <f t="shared" si="1"/>
        <v>0</v>
      </c>
      <c r="H13" s="357" t="s">
        <v>1012</v>
      </c>
      <c r="I13" s="358"/>
    </row>
    <row r="14" spans="1:9" s="359" customFormat="1" ht="31.5" x14ac:dyDescent="0.25">
      <c r="A14" s="353"/>
      <c r="B14" s="399" t="s">
        <v>518</v>
      </c>
      <c r="C14" s="368">
        <v>32.185000000000002</v>
      </c>
      <c r="D14" s="536">
        <v>32.185000000000002</v>
      </c>
      <c r="E14" s="363">
        <f t="shared" si="0"/>
        <v>100</v>
      </c>
      <c r="F14" s="363"/>
      <c r="G14" s="363">
        <f t="shared" si="1"/>
        <v>0</v>
      </c>
      <c r="H14" s="400" t="s">
        <v>1103</v>
      </c>
      <c r="I14" s="358"/>
    </row>
    <row r="15" spans="1:9" s="624" customFormat="1" x14ac:dyDescent="0.25">
      <c r="A15" s="652">
        <v>2</v>
      </c>
      <c r="B15" s="626" t="s">
        <v>496</v>
      </c>
      <c r="C15" s="663">
        <f>SUM(C16+C19+C22+C25)</f>
        <v>673.00984000000005</v>
      </c>
      <c r="D15" s="663">
        <f>SUM(D16+D19+D22+D25)</f>
        <v>607.99048000000005</v>
      </c>
      <c r="E15" s="654">
        <f>SUM(D15/C15*100)</f>
        <v>90.33901792580032</v>
      </c>
      <c r="F15" s="655">
        <f>D15/(C15/4*3)*100</f>
        <v>120.45202390106708</v>
      </c>
      <c r="G15" s="654">
        <f>SUM(C15-D15)</f>
        <v>65.019360000000006</v>
      </c>
      <c r="H15" s="660"/>
      <c r="I15" s="631" t="s">
        <v>1114</v>
      </c>
    </row>
    <row r="16" spans="1:9" s="359" customFormat="1" x14ac:dyDescent="0.25">
      <c r="A16" s="353"/>
      <c r="B16" s="524" t="s">
        <v>348</v>
      </c>
      <c r="C16" s="355">
        <f>SUM(C17:C18)</f>
        <v>250</v>
      </c>
      <c r="D16" s="355">
        <f>SUM(D17:D18)</f>
        <v>214.98063999999999</v>
      </c>
      <c r="E16" s="356">
        <f t="shared" ref="E16:E50" si="2">SUM(D16/C16*100)</f>
        <v>85.992255999999998</v>
      </c>
      <c r="F16" s="356"/>
      <c r="G16" s="356">
        <f t="shared" ref="G16:G75" si="3">SUM(C16-D16)</f>
        <v>35.019360000000006</v>
      </c>
      <c r="H16" s="463"/>
      <c r="I16" s="358"/>
    </row>
    <row r="17" spans="1:9" s="359" customFormat="1" ht="94.5" x14ac:dyDescent="0.25">
      <c r="A17" s="353"/>
      <c r="B17" s="399" t="s">
        <v>497</v>
      </c>
      <c r="C17" s="537">
        <v>250</v>
      </c>
      <c r="D17" s="368">
        <v>214.98063999999999</v>
      </c>
      <c r="E17" s="363">
        <f t="shared" si="2"/>
        <v>85.992255999999998</v>
      </c>
      <c r="F17" s="363"/>
      <c r="G17" s="363">
        <f t="shared" si="3"/>
        <v>35.019360000000006</v>
      </c>
      <c r="H17" s="357" t="s">
        <v>1013</v>
      </c>
      <c r="I17" s="358"/>
    </row>
    <row r="18" spans="1:9" s="359" customFormat="1" ht="31.5" x14ac:dyDescent="0.25">
      <c r="A18" s="353"/>
      <c r="B18" s="399" t="s">
        <v>498</v>
      </c>
      <c r="C18" s="537">
        <v>0</v>
      </c>
      <c r="D18" s="368">
        <v>0</v>
      </c>
      <c r="E18" s="363">
        <v>0</v>
      </c>
      <c r="F18" s="363"/>
      <c r="G18" s="363">
        <f t="shared" si="3"/>
        <v>0</v>
      </c>
      <c r="H18" s="357" t="s">
        <v>1014</v>
      </c>
      <c r="I18" s="358"/>
    </row>
    <row r="19" spans="1:9" s="359" customFormat="1" x14ac:dyDescent="0.25">
      <c r="A19" s="353"/>
      <c r="B19" s="364" t="s">
        <v>499</v>
      </c>
      <c r="C19" s="355">
        <f>SUM(C20:C21)</f>
        <v>292.21080000000001</v>
      </c>
      <c r="D19" s="355">
        <f>SUM(D20:D21)</f>
        <v>262.21080000000001</v>
      </c>
      <c r="E19" s="356">
        <f t="shared" si="2"/>
        <v>89.733439010467791</v>
      </c>
      <c r="F19" s="356"/>
      <c r="G19" s="356">
        <f t="shared" si="3"/>
        <v>30</v>
      </c>
      <c r="H19" s="357"/>
      <c r="I19" s="358"/>
    </row>
    <row r="20" spans="1:9" s="359" customFormat="1" ht="31.5" x14ac:dyDescent="0.25">
      <c r="A20" s="353"/>
      <c r="B20" s="399" t="s">
        <v>500</v>
      </c>
      <c r="C20" s="368">
        <v>90</v>
      </c>
      <c r="D20" s="368">
        <v>90</v>
      </c>
      <c r="E20" s="363">
        <f t="shared" si="2"/>
        <v>100</v>
      </c>
      <c r="F20" s="363"/>
      <c r="G20" s="363">
        <f t="shared" si="3"/>
        <v>0</v>
      </c>
      <c r="H20" s="357"/>
      <c r="I20" s="358"/>
    </row>
    <row r="21" spans="1:9" s="359" customFormat="1" ht="47.25" x14ac:dyDescent="0.25">
      <c r="A21" s="353"/>
      <c r="B21" s="399" t="s">
        <v>501</v>
      </c>
      <c r="C21" s="368">
        <v>202.21080000000001</v>
      </c>
      <c r="D21" s="368">
        <v>172.21080000000001</v>
      </c>
      <c r="E21" s="363">
        <f t="shared" si="2"/>
        <v>85.163997175225063</v>
      </c>
      <c r="F21" s="363"/>
      <c r="G21" s="363">
        <f t="shared" si="3"/>
        <v>30</v>
      </c>
      <c r="H21" s="400" t="s">
        <v>1113</v>
      </c>
      <c r="I21" s="358"/>
    </row>
    <row r="22" spans="1:9" s="359" customFormat="1" x14ac:dyDescent="0.25">
      <c r="A22" s="353"/>
      <c r="B22" s="524" t="s">
        <v>503</v>
      </c>
      <c r="C22" s="355">
        <f>SUM(C23:C24)</f>
        <v>30</v>
      </c>
      <c r="D22" s="355">
        <f>SUM(D23:D24)</f>
        <v>30</v>
      </c>
      <c r="E22" s="356">
        <f t="shared" si="2"/>
        <v>100</v>
      </c>
      <c r="F22" s="356"/>
      <c r="G22" s="356">
        <f t="shared" si="3"/>
        <v>0</v>
      </c>
      <c r="H22" s="357"/>
      <c r="I22" s="358"/>
    </row>
    <row r="23" spans="1:9" s="359" customFormat="1" x14ac:dyDescent="0.25">
      <c r="A23" s="353"/>
      <c r="B23" s="527" t="s">
        <v>504</v>
      </c>
      <c r="C23" s="368">
        <v>5</v>
      </c>
      <c r="D23" s="368">
        <v>5</v>
      </c>
      <c r="E23" s="363">
        <f t="shared" si="2"/>
        <v>100</v>
      </c>
      <c r="F23" s="363"/>
      <c r="G23" s="363">
        <f t="shared" si="3"/>
        <v>0</v>
      </c>
      <c r="H23" s="357"/>
      <c r="I23" s="358"/>
    </row>
    <row r="24" spans="1:9" s="359" customFormat="1" ht="31.5" x14ac:dyDescent="0.25">
      <c r="A24" s="353"/>
      <c r="B24" s="399" t="s">
        <v>505</v>
      </c>
      <c r="C24" s="368">
        <v>25</v>
      </c>
      <c r="D24" s="368">
        <v>25</v>
      </c>
      <c r="E24" s="363">
        <f t="shared" si="2"/>
        <v>100</v>
      </c>
      <c r="F24" s="363"/>
      <c r="G24" s="363">
        <f t="shared" si="3"/>
        <v>0</v>
      </c>
      <c r="H24" s="357"/>
      <c r="I24" s="358"/>
    </row>
    <row r="25" spans="1:9" s="359" customFormat="1" x14ac:dyDescent="0.25">
      <c r="A25" s="353"/>
      <c r="B25" s="364" t="s">
        <v>358</v>
      </c>
      <c r="C25" s="355">
        <f>SUM(C26:C27)</f>
        <v>100.79904000000001</v>
      </c>
      <c r="D25" s="355">
        <f>SUM(D26:D27)</f>
        <v>100.79904000000001</v>
      </c>
      <c r="E25" s="356">
        <f t="shared" si="2"/>
        <v>100</v>
      </c>
      <c r="F25" s="356"/>
      <c r="G25" s="356">
        <f t="shared" si="3"/>
        <v>0</v>
      </c>
      <c r="H25" s="357"/>
      <c r="I25" s="358"/>
    </row>
    <row r="26" spans="1:9" s="359" customFormat="1" ht="31.5" x14ac:dyDescent="0.25">
      <c r="A26" s="353"/>
      <c r="B26" s="399" t="s">
        <v>508</v>
      </c>
      <c r="C26" s="368">
        <v>35</v>
      </c>
      <c r="D26" s="368">
        <v>35</v>
      </c>
      <c r="E26" s="363">
        <f>SUM(D26/C26*100)</f>
        <v>100</v>
      </c>
      <c r="F26" s="363"/>
      <c r="G26" s="363">
        <f>SUM(C26-D26)</f>
        <v>0</v>
      </c>
      <c r="H26" s="357"/>
      <c r="I26" s="358"/>
    </row>
    <row r="27" spans="1:9" s="359" customFormat="1" x14ac:dyDescent="0.25">
      <c r="A27" s="353"/>
      <c r="B27" s="399" t="s">
        <v>1112</v>
      </c>
      <c r="C27" s="368">
        <v>65.799040000000005</v>
      </c>
      <c r="D27" s="368">
        <v>65.799040000000005</v>
      </c>
      <c r="E27" s="363">
        <f t="shared" si="2"/>
        <v>100</v>
      </c>
      <c r="F27" s="363"/>
      <c r="G27" s="363">
        <f t="shared" si="3"/>
        <v>0</v>
      </c>
      <c r="H27" s="357"/>
      <c r="I27" s="358"/>
    </row>
    <row r="28" spans="1:9" s="624" customFormat="1" ht="47.25" x14ac:dyDescent="0.25">
      <c r="A28" s="652">
        <v>3</v>
      </c>
      <c r="B28" s="661" t="s">
        <v>1291</v>
      </c>
      <c r="C28" s="663">
        <f>SUM(C29+C30+C35)</f>
        <v>935.42</v>
      </c>
      <c r="D28" s="663">
        <f>SUM(D29+D30+D35)</f>
        <v>809.54000000000008</v>
      </c>
      <c r="E28" s="654">
        <f t="shared" si="2"/>
        <v>86.542943276816843</v>
      </c>
      <c r="F28" s="655">
        <f>D28/(C28/4*3)*100</f>
        <v>115.39059103575579</v>
      </c>
      <c r="G28" s="654">
        <f t="shared" si="3"/>
        <v>125.87999999999988</v>
      </c>
      <c r="H28" s="660"/>
      <c r="I28" s="631" t="s">
        <v>778</v>
      </c>
    </row>
    <row r="29" spans="1:9" s="359" customFormat="1" x14ac:dyDescent="0.25">
      <c r="A29" s="353"/>
      <c r="B29" s="498" t="s">
        <v>519</v>
      </c>
      <c r="C29" s="538">
        <v>673.4</v>
      </c>
      <c r="D29" s="355">
        <v>577.59</v>
      </c>
      <c r="E29" s="356">
        <f t="shared" si="2"/>
        <v>85.772200772200776</v>
      </c>
      <c r="F29" s="356"/>
      <c r="G29" s="356">
        <f t="shared" si="3"/>
        <v>95.809999999999945</v>
      </c>
      <c r="H29" s="357" t="s">
        <v>779</v>
      </c>
      <c r="I29" s="358"/>
    </row>
    <row r="30" spans="1:9" s="359" customFormat="1" ht="31.5" x14ac:dyDescent="0.25">
      <c r="A30" s="353"/>
      <c r="B30" s="499" t="s">
        <v>520</v>
      </c>
      <c r="C30" s="355">
        <f>SUM(C31)</f>
        <v>141.75</v>
      </c>
      <c r="D30" s="355">
        <f>SUM(D31)</f>
        <v>141.75</v>
      </c>
      <c r="E30" s="356">
        <f t="shared" si="2"/>
        <v>100</v>
      </c>
      <c r="F30" s="356"/>
      <c r="G30" s="356">
        <f t="shared" si="3"/>
        <v>0</v>
      </c>
      <c r="H30" s="463"/>
      <c r="I30" s="358"/>
    </row>
    <row r="31" spans="1:9" s="359" customFormat="1" ht="31.5" x14ac:dyDescent="0.25">
      <c r="A31" s="353"/>
      <c r="B31" s="539" t="s">
        <v>521</v>
      </c>
      <c r="C31" s="355">
        <f>SUM(C32:C34)</f>
        <v>141.75</v>
      </c>
      <c r="D31" s="355">
        <f>SUM(D32:D34)</f>
        <v>141.75</v>
      </c>
      <c r="E31" s="356">
        <f t="shared" si="2"/>
        <v>100</v>
      </c>
      <c r="F31" s="356"/>
      <c r="G31" s="356">
        <f t="shared" si="3"/>
        <v>0</v>
      </c>
      <c r="H31" s="463"/>
      <c r="I31" s="358"/>
    </row>
    <row r="32" spans="1:9" s="359" customFormat="1" ht="110.25" x14ac:dyDescent="0.25">
      <c r="A32" s="353"/>
      <c r="B32" s="489" t="s">
        <v>522</v>
      </c>
      <c r="C32" s="529">
        <v>120</v>
      </c>
      <c r="D32" s="368">
        <v>120</v>
      </c>
      <c r="E32" s="363">
        <v>0</v>
      </c>
      <c r="F32" s="363"/>
      <c r="G32" s="363">
        <f t="shared" si="3"/>
        <v>0</v>
      </c>
      <c r="H32" s="357" t="s">
        <v>1015</v>
      </c>
      <c r="I32" s="358"/>
    </row>
    <row r="33" spans="1:9" s="359" customFormat="1" ht="31.5" x14ac:dyDescent="0.25">
      <c r="A33" s="353"/>
      <c r="B33" s="508" t="s">
        <v>523</v>
      </c>
      <c r="C33" s="529">
        <v>0</v>
      </c>
      <c r="D33" s="368">
        <v>0</v>
      </c>
      <c r="E33" s="363">
        <v>0</v>
      </c>
      <c r="F33" s="363"/>
      <c r="G33" s="363">
        <f t="shared" si="3"/>
        <v>0</v>
      </c>
      <c r="H33" s="357" t="s">
        <v>780</v>
      </c>
      <c r="I33" s="358"/>
    </row>
    <row r="34" spans="1:9" s="359" customFormat="1" ht="31.5" x14ac:dyDescent="0.25">
      <c r="A34" s="353"/>
      <c r="B34" s="540" t="s">
        <v>524</v>
      </c>
      <c r="C34" s="529">
        <v>21.75</v>
      </c>
      <c r="D34" s="368">
        <v>21.75</v>
      </c>
      <c r="E34" s="363">
        <f t="shared" si="2"/>
        <v>100</v>
      </c>
      <c r="F34" s="363"/>
      <c r="G34" s="363">
        <f t="shared" si="3"/>
        <v>0</v>
      </c>
      <c r="H34" s="357" t="s">
        <v>1056</v>
      </c>
      <c r="I34" s="358"/>
    </row>
    <row r="35" spans="1:9" s="359" customFormat="1" ht="31.5" x14ac:dyDescent="0.25">
      <c r="A35" s="353"/>
      <c r="B35" s="499" t="s">
        <v>525</v>
      </c>
      <c r="C35" s="355">
        <f>SUM(C36)</f>
        <v>120.27</v>
      </c>
      <c r="D35" s="355">
        <f>SUM(D36)</f>
        <v>90.2</v>
      </c>
      <c r="E35" s="356">
        <f t="shared" si="2"/>
        <v>74.997921343643469</v>
      </c>
      <c r="F35" s="356"/>
      <c r="G35" s="356">
        <f t="shared" si="3"/>
        <v>30.069999999999993</v>
      </c>
      <c r="H35" s="463"/>
      <c r="I35" s="358"/>
    </row>
    <row r="36" spans="1:9" s="359" customFormat="1" ht="31.5" x14ac:dyDescent="0.25">
      <c r="A36" s="353"/>
      <c r="B36" s="506" t="s">
        <v>526</v>
      </c>
      <c r="C36" s="368">
        <f>SUM(C37:C38)+9.02</f>
        <v>120.27</v>
      </c>
      <c r="D36" s="368">
        <f>SUM(D37:D38)+9.02</f>
        <v>90.2</v>
      </c>
      <c r="E36" s="363">
        <f t="shared" si="2"/>
        <v>74.997921343643469</v>
      </c>
      <c r="F36" s="363"/>
      <c r="G36" s="363">
        <f t="shared" si="3"/>
        <v>30.069999999999993</v>
      </c>
      <c r="H36" s="463"/>
      <c r="I36" s="358"/>
    </row>
    <row r="37" spans="1:9" s="359" customFormat="1" ht="49.5" customHeight="1" x14ac:dyDescent="0.25">
      <c r="A37" s="353"/>
      <c r="B37" s="508" t="s">
        <v>527</v>
      </c>
      <c r="C37" s="529">
        <v>45.38</v>
      </c>
      <c r="D37" s="368">
        <v>45.38</v>
      </c>
      <c r="E37" s="363">
        <f t="shared" si="2"/>
        <v>100</v>
      </c>
      <c r="F37" s="363"/>
      <c r="G37" s="363">
        <f t="shared" si="3"/>
        <v>0</v>
      </c>
      <c r="H37" s="357" t="s">
        <v>1016</v>
      </c>
      <c r="I37" s="358"/>
    </row>
    <row r="38" spans="1:9" s="359" customFormat="1" ht="48.75" customHeight="1" x14ac:dyDescent="0.25">
      <c r="A38" s="353"/>
      <c r="B38" s="508" t="s">
        <v>528</v>
      </c>
      <c r="C38" s="529">
        <v>65.87</v>
      </c>
      <c r="D38" s="363">
        <v>35.799999999999997</v>
      </c>
      <c r="E38" s="363">
        <f t="shared" si="2"/>
        <v>54.349476241080907</v>
      </c>
      <c r="F38" s="363"/>
      <c r="G38" s="363">
        <f t="shared" si="3"/>
        <v>30.070000000000007</v>
      </c>
      <c r="H38" s="357" t="s">
        <v>1057</v>
      </c>
      <c r="I38" s="358"/>
    </row>
    <row r="39" spans="1:9" s="624" customFormat="1" ht="31.5" x14ac:dyDescent="0.25">
      <c r="A39" s="652">
        <v>4</v>
      </c>
      <c r="B39" s="626" t="s">
        <v>781</v>
      </c>
      <c r="C39" s="663">
        <f>SUM(C40+C43)</f>
        <v>560</v>
      </c>
      <c r="D39" s="663">
        <f>SUM(D40+D43)</f>
        <v>555.52700000000004</v>
      </c>
      <c r="E39" s="654">
        <f t="shared" si="2"/>
        <v>99.201250000000002</v>
      </c>
      <c r="F39" s="655">
        <f>D39/(C39/4*4)*100</f>
        <v>99.201250000000002</v>
      </c>
      <c r="G39" s="654">
        <f t="shared" si="3"/>
        <v>4.4729999999999563</v>
      </c>
      <c r="H39" s="660"/>
      <c r="I39" s="631" t="s">
        <v>782</v>
      </c>
    </row>
    <row r="40" spans="1:9" s="359" customFormat="1" ht="31.5" x14ac:dyDescent="0.25">
      <c r="A40" s="353"/>
      <c r="B40" s="495" t="s">
        <v>176</v>
      </c>
      <c r="C40" s="355">
        <f>SUM(C41:C42)</f>
        <v>470</v>
      </c>
      <c r="D40" s="355">
        <f>SUM(D41:D42)</f>
        <v>465.52699999999999</v>
      </c>
      <c r="E40" s="356">
        <f t="shared" si="2"/>
        <v>99.048297872340413</v>
      </c>
      <c r="F40" s="356"/>
      <c r="G40" s="356">
        <f t="shared" si="3"/>
        <v>4.4730000000000132</v>
      </c>
      <c r="H40" s="463"/>
      <c r="I40" s="358"/>
    </row>
    <row r="41" spans="1:9" s="359" customFormat="1" x14ac:dyDescent="0.25">
      <c r="A41" s="353"/>
      <c r="B41" s="496" t="s">
        <v>532</v>
      </c>
      <c r="C41" s="368">
        <v>450</v>
      </c>
      <c r="D41" s="368">
        <v>450</v>
      </c>
      <c r="E41" s="363">
        <f t="shared" si="2"/>
        <v>100</v>
      </c>
      <c r="F41" s="363"/>
      <c r="G41" s="363">
        <f t="shared" si="3"/>
        <v>0</v>
      </c>
      <c r="H41" s="400"/>
      <c r="I41" s="358"/>
    </row>
    <row r="42" spans="1:9" s="359" customFormat="1" ht="31.5" x14ac:dyDescent="0.25">
      <c r="A42" s="353"/>
      <c r="B42" s="496" t="s">
        <v>534</v>
      </c>
      <c r="C42" s="368">
        <v>20</v>
      </c>
      <c r="D42" s="368">
        <v>15.526999999999999</v>
      </c>
      <c r="E42" s="363">
        <f t="shared" si="2"/>
        <v>77.635000000000005</v>
      </c>
      <c r="F42" s="363"/>
      <c r="G42" s="363">
        <f t="shared" si="3"/>
        <v>4.4730000000000008</v>
      </c>
      <c r="H42" s="400" t="s">
        <v>1018</v>
      </c>
      <c r="I42" s="358"/>
    </row>
    <row r="43" spans="1:9" s="359" customFormat="1" x14ac:dyDescent="0.25">
      <c r="A43" s="353"/>
      <c r="B43" s="498" t="s">
        <v>179</v>
      </c>
      <c r="C43" s="355">
        <f>SUM(C44:C45)</f>
        <v>90</v>
      </c>
      <c r="D43" s="355">
        <f>SUM(D44:D45)</f>
        <v>90</v>
      </c>
      <c r="E43" s="356">
        <f t="shared" si="2"/>
        <v>100</v>
      </c>
      <c r="F43" s="356"/>
      <c r="G43" s="356">
        <f t="shared" si="3"/>
        <v>0</v>
      </c>
      <c r="H43" s="400"/>
      <c r="I43" s="358"/>
    </row>
    <row r="44" spans="1:9" s="359" customFormat="1" ht="31.5" x14ac:dyDescent="0.25">
      <c r="A44" s="353"/>
      <c r="B44" s="496" t="s">
        <v>536</v>
      </c>
      <c r="C44" s="368">
        <v>75</v>
      </c>
      <c r="D44" s="368">
        <v>75</v>
      </c>
      <c r="E44" s="363">
        <f t="shared" si="2"/>
        <v>100</v>
      </c>
      <c r="F44" s="363"/>
      <c r="G44" s="363">
        <f t="shared" si="3"/>
        <v>0</v>
      </c>
      <c r="H44" s="463"/>
      <c r="I44" s="358"/>
    </row>
    <row r="45" spans="1:9" s="359" customFormat="1" ht="31.5" x14ac:dyDescent="0.25">
      <c r="A45" s="353"/>
      <c r="B45" s="496" t="s">
        <v>537</v>
      </c>
      <c r="C45" s="368">
        <v>15</v>
      </c>
      <c r="D45" s="368">
        <v>15</v>
      </c>
      <c r="E45" s="363">
        <f t="shared" si="2"/>
        <v>100</v>
      </c>
      <c r="F45" s="363"/>
      <c r="G45" s="363">
        <f t="shared" si="3"/>
        <v>0</v>
      </c>
      <c r="H45" s="463"/>
      <c r="I45" s="358"/>
    </row>
    <row r="46" spans="1:9" s="624" customFormat="1" ht="31.5" x14ac:dyDescent="0.25">
      <c r="A46" s="652">
        <v>5</v>
      </c>
      <c r="B46" s="626" t="s">
        <v>1294</v>
      </c>
      <c r="C46" s="663">
        <f>SUM(C47+C49)</f>
        <v>350</v>
      </c>
      <c r="D46" s="663">
        <f>SUM(D47+D49)</f>
        <v>350</v>
      </c>
      <c r="E46" s="654">
        <f t="shared" si="2"/>
        <v>100</v>
      </c>
      <c r="F46" s="655">
        <f>D46/(C46/4*3)*100</f>
        <v>133.33333333333331</v>
      </c>
      <c r="G46" s="654">
        <f t="shared" si="3"/>
        <v>0</v>
      </c>
      <c r="H46" s="660"/>
      <c r="I46" s="631" t="s">
        <v>1297</v>
      </c>
    </row>
    <row r="47" spans="1:9" s="544" customFormat="1" x14ac:dyDescent="0.25">
      <c r="A47" s="541"/>
      <c r="B47" s="535" t="s">
        <v>783</v>
      </c>
      <c r="C47" s="355">
        <v>100</v>
      </c>
      <c r="D47" s="355">
        <f>D48</f>
        <v>100</v>
      </c>
      <c r="E47" s="465">
        <f t="shared" si="2"/>
        <v>100</v>
      </c>
      <c r="F47" s="465"/>
      <c r="G47" s="465">
        <f t="shared" si="3"/>
        <v>0</v>
      </c>
      <c r="H47" s="542"/>
      <c r="I47" s="543"/>
    </row>
    <row r="48" spans="1:9" s="544" customFormat="1" ht="47.25" x14ac:dyDescent="0.25">
      <c r="A48" s="541"/>
      <c r="B48" s="528" t="s">
        <v>530</v>
      </c>
      <c r="C48" s="368">
        <v>100</v>
      </c>
      <c r="D48" s="368">
        <v>100</v>
      </c>
      <c r="E48" s="471">
        <f t="shared" si="2"/>
        <v>100</v>
      </c>
      <c r="F48" s="471"/>
      <c r="G48" s="471">
        <f t="shared" si="3"/>
        <v>0</v>
      </c>
      <c r="H48" s="545"/>
      <c r="I48" s="543"/>
    </row>
    <row r="49" spans="1:9" s="544" customFormat="1" x14ac:dyDescent="0.25">
      <c r="A49" s="541"/>
      <c r="B49" s="535" t="s">
        <v>531</v>
      </c>
      <c r="C49" s="355">
        <f>SUM(C50)</f>
        <v>250</v>
      </c>
      <c r="D49" s="355">
        <f>SUM(D50)</f>
        <v>250</v>
      </c>
      <c r="E49" s="465">
        <f t="shared" si="2"/>
        <v>100</v>
      </c>
      <c r="F49" s="465"/>
      <c r="G49" s="465">
        <f t="shared" si="3"/>
        <v>0</v>
      </c>
      <c r="H49" s="545"/>
      <c r="I49" s="543"/>
    </row>
    <row r="50" spans="1:9" s="544" customFormat="1" x14ac:dyDescent="0.25">
      <c r="A50" s="541"/>
      <c r="B50" s="534" t="s">
        <v>531</v>
      </c>
      <c r="C50" s="368">
        <v>250</v>
      </c>
      <c r="D50" s="368">
        <v>250</v>
      </c>
      <c r="E50" s="471">
        <f t="shared" si="2"/>
        <v>100</v>
      </c>
      <c r="F50" s="471"/>
      <c r="G50" s="471">
        <f t="shared" si="3"/>
        <v>0</v>
      </c>
      <c r="H50" s="545"/>
      <c r="I50" s="543"/>
    </row>
    <row r="51" spans="1:9" s="624" customFormat="1" x14ac:dyDescent="0.25">
      <c r="A51" s="652">
        <v>6</v>
      </c>
      <c r="B51" s="623" t="s">
        <v>1324</v>
      </c>
      <c r="C51" s="673">
        <f>SUM(C52+C54+C58+C71+C80+C85)</f>
        <v>681.02</v>
      </c>
      <c r="D51" s="673">
        <f>SUM(D52+D54+D58+D71+D80+D85)</f>
        <v>655.28800000000001</v>
      </c>
      <c r="E51" s="654">
        <f t="shared" ref="E51:E87" si="4">SUM(D51/C51*100)</f>
        <v>96.221550027899326</v>
      </c>
      <c r="F51" s="655">
        <f>D51/(C51/4*3)*100</f>
        <v>128.2954000371991</v>
      </c>
      <c r="G51" s="654">
        <f t="shared" si="3"/>
        <v>25.731999999999971</v>
      </c>
      <c r="H51" s="660"/>
      <c r="I51" s="631" t="s">
        <v>785</v>
      </c>
    </row>
    <row r="52" spans="1:9" s="359" customFormat="1" ht="31.5" x14ac:dyDescent="0.25">
      <c r="A52" s="353"/>
      <c r="B52" s="530" t="s">
        <v>367</v>
      </c>
      <c r="C52" s="494">
        <v>100</v>
      </c>
      <c r="D52" s="485">
        <v>100</v>
      </c>
      <c r="E52" s="356">
        <f t="shared" si="4"/>
        <v>100</v>
      </c>
      <c r="F52" s="356"/>
      <c r="G52" s="356">
        <f t="shared" si="3"/>
        <v>0</v>
      </c>
      <c r="H52" s="463"/>
      <c r="I52" s="358"/>
    </row>
    <row r="53" spans="1:9" s="359" customFormat="1" x14ac:dyDescent="0.25">
      <c r="A53" s="353"/>
      <c r="B53" s="358" t="s">
        <v>571</v>
      </c>
      <c r="C53" s="368">
        <v>100</v>
      </c>
      <c r="D53" s="368">
        <v>100</v>
      </c>
      <c r="E53" s="363">
        <f t="shared" si="4"/>
        <v>100</v>
      </c>
      <c r="F53" s="363"/>
      <c r="G53" s="363">
        <f t="shared" si="3"/>
        <v>0</v>
      </c>
      <c r="H53" s="463" t="s">
        <v>1017</v>
      </c>
      <c r="I53" s="358"/>
    </row>
    <row r="54" spans="1:9" s="359" customFormat="1" x14ac:dyDescent="0.25">
      <c r="A54" s="353"/>
      <c r="B54" s="531" t="s">
        <v>368</v>
      </c>
      <c r="C54" s="485">
        <v>0</v>
      </c>
      <c r="D54" s="485">
        <v>0</v>
      </c>
      <c r="E54" s="485">
        <v>0</v>
      </c>
      <c r="F54" s="485"/>
      <c r="G54" s="356">
        <f t="shared" si="3"/>
        <v>0</v>
      </c>
      <c r="H54" s="463"/>
      <c r="I54" s="358"/>
    </row>
    <row r="55" spans="1:9" s="359" customFormat="1" ht="31.5" customHeight="1" x14ac:dyDescent="0.25">
      <c r="A55" s="353"/>
      <c r="B55" s="481" t="s">
        <v>786</v>
      </c>
      <c r="C55" s="486">
        <v>0</v>
      </c>
      <c r="D55" s="486">
        <v>0</v>
      </c>
      <c r="E55" s="486">
        <v>0</v>
      </c>
      <c r="F55" s="486"/>
      <c r="G55" s="363">
        <f t="shared" si="3"/>
        <v>0</v>
      </c>
      <c r="H55" s="463"/>
      <c r="I55" s="358"/>
    </row>
    <row r="56" spans="1:9" s="359" customFormat="1" ht="31.5" x14ac:dyDescent="0.25">
      <c r="A56" s="353"/>
      <c r="B56" s="481" t="s">
        <v>572</v>
      </c>
      <c r="C56" s="486">
        <v>0</v>
      </c>
      <c r="D56" s="486">
        <v>0</v>
      </c>
      <c r="E56" s="486">
        <v>0</v>
      </c>
      <c r="F56" s="486"/>
      <c r="G56" s="363">
        <f t="shared" si="3"/>
        <v>0</v>
      </c>
      <c r="H56" s="463"/>
      <c r="I56" s="358"/>
    </row>
    <row r="57" spans="1:9" s="359" customFormat="1" x14ac:dyDescent="0.25">
      <c r="A57" s="353"/>
      <c r="B57" s="481" t="s">
        <v>573</v>
      </c>
      <c r="C57" s="486">
        <v>0</v>
      </c>
      <c r="D57" s="486">
        <v>0</v>
      </c>
      <c r="E57" s="486">
        <v>0</v>
      </c>
      <c r="F57" s="486"/>
      <c r="G57" s="363">
        <f t="shared" si="3"/>
        <v>0</v>
      </c>
      <c r="H57" s="463"/>
      <c r="I57" s="358"/>
    </row>
    <row r="58" spans="1:9" s="359" customFormat="1" ht="31.5" x14ac:dyDescent="0.25">
      <c r="A58" s="353"/>
      <c r="B58" s="530" t="s">
        <v>369</v>
      </c>
      <c r="C58" s="494">
        <f>C64</f>
        <v>59.481999999999999</v>
      </c>
      <c r="D58" s="494">
        <f>D64</f>
        <v>59.48</v>
      </c>
      <c r="E58" s="356">
        <f t="shared" si="4"/>
        <v>99.996637638277122</v>
      </c>
      <c r="F58" s="356"/>
      <c r="G58" s="356">
        <f t="shared" si="3"/>
        <v>2.0000000000024443E-3</v>
      </c>
      <c r="H58" s="463"/>
      <c r="I58" s="358"/>
    </row>
    <row r="59" spans="1:9" s="359" customFormat="1" x14ac:dyDescent="0.25">
      <c r="A59" s="353"/>
      <c r="B59" s="532" t="s">
        <v>574</v>
      </c>
      <c r="C59" s="494">
        <f>SUM(C60:C63)</f>
        <v>0</v>
      </c>
      <c r="D59" s="486">
        <v>0</v>
      </c>
      <c r="E59" s="363">
        <v>0</v>
      </c>
      <c r="F59" s="363"/>
      <c r="G59" s="363">
        <f t="shared" si="3"/>
        <v>0</v>
      </c>
      <c r="H59" s="463"/>
      <c r="I59" s="358"/>
    </row>
    <row r="60" spans="1:9" s="359" customFormat="1" ht="31.5" x14ac:dyDescent="0.25">
      <c r="A60" s="353"/>
      <c r="B60" s="481" t="s">
        <v>787</v>
      </c>
      <c r="C60" s="486">
        <v>0</v>
      </c>
      <c r="D60" s="486">
        <v>0</v>
      </c>
      <c r="E60" s="486">
        <v>0</v>
      </c>
      <c r="F60" s="486"/>
      <c r="G60" s="363">
        <f t="shared" si="3"/>
        <v>0</v>
      </c>
      <c r="H60" s="463"/>
      <c r="I60" s="358"/>
    </row>
    <row r="61" spans="1:9" s="359" customFormat="1" ht="50.25" customHeight="1" x14ac:dyDescent="0.25">
      <c r="A61" s="353"/>
      <c r="B61" s="481" t="s">
        <v>575</v>
      </c>
      <c r="C61" s="486">
        <v>0</v>
      </c>
      <c r="D61" s="486">
        <v>0</v>
      </c>
      <c r="E61" s="363">
        <v>0</v>
      </c>
      <c r="F61" s="363"/>
      <c r="G61" s="363">
        <f t="shared" si="3"/>
        <v>0</v>
      </c>
      <c r="H61" s="481" t="s">
        <v>1119</v>
      </c>
      <c r="I61" s="358"/>
    </row>
    <row r="62" spans="1:9" s="359" customFormat="1" ht="36.75" customHeight="1" x14ac:dyDescent="0.25">
      <c r="A62" s="353"/>
      <c r="B62" s="481" t="s">
        <v>576</v>
      </c>
      <c r="C62" s="486">
        <v>0</v>
      </c>
      <c r="D62" s="486">
        <v>0</v>
      </c>
      <c r="E62" s="363">
        <v>0</v>
      </c>
      <c r="F62" s="363"/>
      <c r="G62" s="363">
        <f t="shared" si="3"/>
        <v>0</v>
      </c>
      <c r="H62" s="481" t="s">
        <v>1120</v>
      </c>
      <c r="I62" s="358"/>
    </row>
    <row r="63" spans="1:9" s="359" customFormat="1" ht="37.5" customHeight="1" x14ac:dyDescent="0.25">
      <c r="A63" s="353"/>
      <c r="B63" s="481" t="s">
        <v>577</v>
      </c>
      <c r="C63" s="486">
        <v>0</v>
      </c>
      <c r="D63" s="486">
        <v>0</v>
      </c>
      <c r="E63" s="486">
        <v>0</v>
      </c>
      <c r="F63" s="486"/>
      <c r="G63" s="363">
        <f t="shared" si="3"/>
        <v>0</v>
      </c>
      <c r="H63" s="357" t="s">
        <v>788</v>
      </c>
      <c r="I63" s="358"/>
    </row>
    <row r="64" spans="1:9" s="359" customFormat="1" ht="31.5" x14ac:dyDescent="0.25">
      <c r="A64" s="353"/>
      <c r="B64" s="533" t="s">
        <v>578</v>
      </c>
      <c r="C64" s="368">
        <f>SUM(C65:C66)</f>
        <v>59.481999999999999</v>
      </c>
      <c r="D64" s="368">
        <f>SUM(D65:D66)</f>
        <v>59.48</v>
      </c>
      <c r="E64" s="363">
        <f t="shared" si="4"/>
        <v>99.996637638277122</v>
      </c>
      <c r="F64" s="363"/>
      <c r="G64" s="363">
        <f t="shared" si="3"/>
        <v>2.0000000000024443E-3</v>
      </c>
      <c r="H64" s="463"/>
      <c r="I64" s="358"/>
    </row>
    <row r="65" spans="1:9" s="359" customFormat="1" ht="47.25" x14ac:dyDescent="0.25">
      <c r="A65" s="353"/>
      <c r="B65" s="481" t="s">
        <v>579</v>
      </c>
      <c r="C65" s="368">
        <v>34.481999999999999</v>
      </c>
      <c r="D65" s="486">
        <v>34.479999999999997</v>
      </c>
      <c r="E65" s="363">
        <f t="shared" si="4"/>
        <v>99.994199872397189</v>
      </c>
      <c r="F65" s="363"/>
      <c r="G65" s="363">
        <f t="shared" si="3"/>
        <v>2.0000000000024443E-3</v>
      </c>
      <c r="H65" s="481" t="s">
        <v>1121</v>
      </c>
      <c r="I65" s="358"/>
    </row>
    <row r="66" spans="1:9" s="359" customFormat="1" ht="31.5" x14ac:dyDescent="0.25">
      <c r="A66" s="353"/>
      <c r="B66" s="481" t="s">
        <v>580</v>
      </c>
      <c r="C66" s="368">
        <v>25</v>
      </c>
      <c r="D66" s="368">
        <v>25</v>
      </c>
      <c r="E66" s="363">
        <f t="shared" si="4"/>
        <v>100</v>
      </c>
      <c r="F66" s="363"/>
      <c r="G66" s="363">
        <f t="shared" si="3"/>
        <v>0</v>
      </c>
      <c r="H66" s="481"/>
      <c r="I66" s="358"/>
    </row>
    <row r="67" spans="1:9" s="359" customFormat="1" x14ac:dyDescent="0.25">
      <c r="A67" s="353"/>
      <c r="B67" s="532" t="s">
        <v>581</v>
      </c>
      <c r="C67" s="486">
        <v>0</v>
      </c>
      <c r="D67" s="486">
        <v>0</v>
      </c>
      <c r="E67" s="486">
        <v>0</v>
      </c>
      <c r="F67" s="486"/>
      <c r="G67" s="363">
        <f t="shared" si="3"/>
        <v>0</v>
      </c>
      <c r="H67" s="463"/>
      <c r="I67" s="358"/>
    </row>
    <row r="68" spans="1:9" s="359" customFormat="1" ht="63" x14ac:dyDescent="0.25">
      <c r="A68" s="353"/>
      <c r="B68" s="357" t="s">
        <v>582</v>
      </c>
      <c r="C68" s="486">
        <v>0</v>
      </c>
      <c r="D68" s="486">
        <v>0</v>
      </c>
      <c r="E68" s="486">
        <v>0</v>
      </c>
      <c r="F68" s="486"/>
      <c r="G68" s="363">
        <f t="shared" si="3"/>
        <v>0</v>
      </c>
      <c r="H68" s="357" t="s">
        <v>789</v>
      </c>
      <c r="I68" s="358"/>
    </row>
    <row r="69" spans="1:9" s="359" customFormat="1" x14ac:dyDescent="0.25">
      <c r="A69" s="353"/>
      <c r="B69" s="532" t="s">
        <v>583</v>
      </c>
      <c r="C69" s="486">
        <v>0</v>
      </c>
      <c r="D69" s="486">
        <v>0</v>
      </c>
      <c r="E69" s="486">
        <v>0</v>
      </c>
      <c r="F69" s="486"/>
      <c r="G69" s="363">
        <f t="shared" si="3"/>
        <v>0</v>
      </c>
      <c r="H69" s="463"/>
      <c r="I69" s="358"/>
    </row>
    <row r="70" spans="1:9" s="359" customFormat="1" ht="63" x14ac:dyDescent="0.25">
      <c r="A70" s="353"/>
      <c r="B70" s="400" t="s">
        <v>584</v>
      </c>
      <c r="C70" s="486">
        <v>0</v>
      </c>
      <c r="D70" s="486">
        <v>0</v>
      </c>
      <c r="E70" s="486">
        <v>0</v>
      </c>
      <c r="F70" s="486"/>
      <c r="G70" s="363">
        <f t="shared" si="3"/>
        <v>0</v>
      </c>
      <c r="H70" s="481" t="s">
        <v>789</v>
      </c>
      <c r="I70" s="358"/>
    </row>
    <row r="71" spans="1:9" s="520" customFormat="1" x14ac:dyDescent="0.25">
      <c r="A71" s="517"/>
      <c r="B71" s="531" t="s">
        <v>371</v>
      </c>
      <c r="C71" s="485">
        <f>C72+C74+C76+C77+C78+C79</f>
        <v>299.40500000000003</v>
      </c>
      <c r="D71" s="485">
        <f>D72+D74+D76+D77+D78+D79</f>
        <v>290.48500000000001</v>
      </c>
      <c r="E71" s="356">
        <f t="shared" si="4"/>
        <v>97.020757836375466</v>
      </c>
      <c r="F71" s="356"/>
      <c r="G71" s="356">
        <f t="shared" si="3"/>
        <v>8.9200000000000159</v>
      </c>
      <c r="H71" s="463"/>
      <c r="I71" s="498"/>
    </row>
    <row r="72" spans="1:9" s="359" customFormat="1" ht="83.25" customHeight="1" x14ac:dyDescent="0.25">
      <c r="A72" s="353"/>
      <c r="B72" s="399" t="s">
        <v>585</v>
      </c>
      <c r="C72" s="486">
        <v>145</v>
      </c>
      <c r="D72" s="486">
        <v>145</v>
      </c>
      <c r="E72" s="363">
        <f t="shared" si="4"/>
        <v>100</v>
      </c>
      <c r="F72" s="363"/>
      <c r="G72" s="363">
        <f t="shared" si="3"/>
        <v>0</v>
      </c>
      <c r="H72" s="676" t="s">
        <v>977</v>
      </c>
      <c r="I72" s="358"/>
    </row>
    <row r="73" spans="1:9" s="359" customFormat="1" ht="132" customHeight="1" x14ac:dyDescent="0.25">
      <c r="A73" s="353"/>
      <c r="B73" s="399" t="s">
        <v>586</v>
      </c>
      <c r="C73" s="486">
        <v>0</v>
      </c>
      <c r="D73" s="486">
        <v>0</v>
      </c>
      <c r="E73" s="486">
        <v>0</v>
      </c>
      <c r="F73" s="486"/>
      <c r="G73" s="363">
        <f t="shared" si="3"/>
        <v>0</v>
      </c>
      <c r="H73" s="400" t="s">
        <v>978</v>
      </c>
      <c r="I73" s="358"/>
    </row>
    <row r="74" spans="1:9" s="359" customFormat="1" ht="47.25" x14ac:dyDescent="0.25">
      <c r="A74" s="353"/>
      <c r="B74" s="493" t="s">
        <v>587</v>
      </c>
      <c r="C74" s="486">
        <v>35.5</v>
      </c>
      <c r="D74" s="368">
        <v>29.5</v>
      </c>
      <c r="E74" s="363">
        <f t="shared" si="4"/>
        <v>83.098591549295776</v>
      </c>
      <c r="F74" s="363"/>
      <c r="G74" s="363">
        <f t="shared" si="3"/>
        <v>6</v>
      </c>
      <c r="H74" s="481"/>
      <c r="I74" s="358"/>
    </row>
    <row r="75" spans="1:9" s="359" customFormat="1" x14ac:dyDescent="0.25">
      <c r="A75" s="353"/>
      <c r="B75" s="493" t="s">
        <v>588</v>
      </c>
      <c r="C75" s="486">
        <v>0</v>
      </c>
      <c r="D75" s="471">
        <v>0</v>
      </c>
      <c r="E75" s="363">
        <v>0</v>
      </c>
      <c r="F75" s="363"/>
      <c r="G75" s="363">
        <f t="shared" si="3"/>
        <v>0</v>
      </c>
      <c r="H75" s="463"/>
      <c r="I75" s="358"/>
    </row>
    <row r="76" spans="1:9" s="359" customFormat="1" ht="47.25" x14ac:dyDescent="0.25">
      <c r="A76" s="353"/>
      <c r="B76" s="493" t="s">
        <v>589</v>
      </c>
      <c r="C76" s="486">
        <v>51.825000000000003</v>
      </c>
      <c r="D76" s="486">
        <v>48.905000000000001</v>
      </c>
      <c r="E76" s="363">
        <f t="shared" si="4"/>
        <v>94.365653642064643</v>
      </c>
      <c r="F76" s="363"/>
      <c r="G76" s="363">
        <f t="shared" ref="G76:G101" si="5">SUM(C76-D76)</f>
        <v>2.9200000000000017</v>
      </c>
      <c r="H76" s="481"/>
      <c r="I76" s="358"/>
    </row>
    <row r="77" spans="1:9" s="359" customFormat="1" ht="31.5" x14ac:dyDescent="0.25">
      <c r="A77" s="353"/>
      <c r="B77" s="534" t="s">
        <v>590</v>
      </c>
      <c r="C77" s="486">
        <v>33.6</v>
      </c>
      <c r="D77" s="486">
        <v>33.6</v>
      </c>
      <c r="E77" s="363">
        <f t="shared" si="4"/>
        <v>100</v>
      </c>
      <c r="F77" s="363"/>
      <c r="G77" s="363">
        <f t="shared" si="5"/>
        <v>0</v>
      </c>
      <c r="H77" s="463" t="s">
        <v>1122</v>
      </c>
      <c r="I77" s="358"/>
    </row>
    <row r="78" spans="1:9" s="359" customFormat="1" x14ac:dyDescent="0.25">
      <c r="A78" s="353"/>
      <c r="B78" s="534" t="s">
        <v>591</v>
      </c>
      <c r="C78" s="486">
        <v>16</v>
      </c>
      <c r="D78" s="486">
        <v>16</v>
      </c>
      <c r="E78" s="363">
        <f t="shared" si="4"/>
        <v>100</v>
      </c>
      <c r="F78" s="363"/>
      <c r="G78" s="363">
        <f t="shared" si="5"/>
        <v>0</v>
      </c>
      <c r="H78" s="463" t="s">
        <v>1123</v>
      </c>
      <c r="I78" s="358"/>
    </row>
    <row r="79" spans="1:9" s="359" customFormat="1" ht="31.5" x14ac:dyDescent="0.25">
      <c r="A79" s="353"/>
      <c r="B79" s="534" t="s">
        <v>592</v>
      </c>
      <c r="C79" s="486">
        <v>17.48</v>
      </c>
      <c r="D79" s="486">
        <v>17.48</v>
      </c>
      <c r="E79" s="363">
        <f t="shared" si="4"/>
        <v>100</v>
      </c>
      <c r="F79" s="363"/>
      <c r="G79" s="363">
        <f t="shared" si="5"/>
        <v>0</v>
      </c>
      <c r="H79" s="463" t="s">
        <v>1124</v>
      </c>
      <c r="I79" s="358"/>
    </row>
    <row r="80" spans="1:9" s="520" customFormat="1" x14ac:dyDescent="0.25">
      <c r="A80" s="517"/>
      <c r="B80" s="531" t="s">
        <v>373</v>
      </c>
      <c r="C80" s="485">
        <f>C81+C82+C83</f>
        <v>197.13299999999998</v>
      </c>
      <c r="D80" s="485">
        <f>D81+D82+D83</f>
        <v>180.32299999999998</v>
      </c>
      <c r="E80" s="356">
        <f t="shared" si="4"/>
        <v>91.472762043899294</v>
      </c>
      <c r="F80" s="356"/>
      <c r="G80" s="356">
        <f t="shared" si="5"/>
        <v>16.810000000000002</v>
      </c>
      <c r="H80" s="463"/>
      <c r="I80" s="498"/>
    </row>
    <row r="81" spans="1:9" s="359" customFormat="1" ht="35.25" customHeight="1" x14ac:dyDescent="0.25">
      <c r="A81" s="353"/>
      <c r="B81" s="357" t="s">
        <v>593</v>
      </c>
      <c r="C81" s="486">
        <v>4.5199999999999996</v>
      </c>
      <c r="D81" s="486">
        <v>4.5199999999999996</v>
      </c>
      <c r="E81" s="363">
        <f t="shared" si="4"/>
        <v>100</v>
      </c>
      <c r="F81" s="363"/>
      <c r="G81" s="363">
        <f t="shared" si="5"/>
        <v>0</v>
      </c>
      <c r="H81" s="481" t="s">
        <v>1125</v>
      </c>
      <c r="I81" s="358"/>
    </row>
    <row r="82" spans="1:9" s="359" customFormat="1" ht="50.25" customHeight="1" x14ac:dyDescent="0.25">
      <c r="A82" s="353"/>
      <c r="B82" s="534" t="s">
        <v>594</v>
      </c>
      <c r="C82" s="486">
        <v>50.921599999999998</v>
      </c>
      <c r="D82" s="471">
        <v>50</v>
      </c>
      <c r="E82" s="363">
        <f t="shared" si="4"/>
        <v>98.190158989505434</v>
      </c>
      <c r="F82" s="363"/>
      <c r="G82" s="363">
        <f t="shared" si="5"/>
        <v>0.92159999999999798</v>
      </c>
      <c r="H82" s="481" t="s">
        <v>1126</v>
      </c>
      <c r="I82" s="358"/>
    </row>
    <row r="83" spans="1:9" s="359" customFormat="1" ht="63" x14ac:dyDescent="0.25">
      <c r="A83" s="353"/>
      <c r="B83" s="534" t="s">
        <v>595</v>
      </c>
      <c r="C83" s="486">
        <v>141.69139999999999</v>
      </c>
      <c r="D83" s="486">
        <v>125.803</v>
      </c>
      <c r="E83" s="363">
        <f>SUM(D83/C83*100)</f>
        <v>88.786616548357927</v>
      </c>
      <c r="F83" s="363"/>
      <c r="G83" s="363">
        <f t="shared" si="5"/>
        <v>15.88839999999999</v>
      </c>
      <c r="H83" s="481" t="s">
        <v>1127</v>
      </c>
      <c r="I83" s="358"/>
    </row>
    <row r="84" spans="1:9" s="359" customFormat="1" x14ac:dyDescent="0.25">
      <c r="A84" s="353"/>
      <c r="B84" s="535" t="s">
        <v>596</v>
      </c>
      <c r="C84" s="486"/>
      <c r="D84" s="471"/>
      <c r="E84" s="363"/>
      <c r="F84" s="363"/>
      <c r="G84" s="363"/>
      <c r="H84" s="463"/>
      <c r="I84" s="358"/>
    </row>
    <row r="85" spans="1:9" s="359" customFormat="1" ht="65.25" customHeight="1" x14ac:dyDescent="0.25">
      <c r="A85" s="353"/>
      <c r="B85" s="534" t="s">
        <v>597</v>
      </c>
      <c r="C85" s="486">
        <v>25</v>
      </c>
      <c r="D85" s="471">
        <v>25</v>
      </c>
      <c r="E85" s="363">
        <f t="shared" si="4"/>
        <v>100</v>
      </c>
      <c r="F85" s="363"/>
      <c r="G85" s="363">
        <f t="shared" si="5"/>
        <v>0</v>
      </c>
      <c r="H85" s="357"/>
      <c r="I85" s="358"/>
    </row>
    <row r="86" spans="1:9" s="624" customFormat="1" ht="31.5" x14ac:dyDescent="0.25">
      <c r="A86" s="652">
        <v>7</v>
      </c>
      <c r="B86" s="626" t="s">
        <v>1319</v>
      </c>
      <c r="C86" s="654">
        <f>SUM(C87+C90+C93+C97)+C99</f>
        <v>7874.0399999999991</v>
      </c>
      <c r="D86" s="654">
        <f>SUM(D87+D90+D93+D97)+D99</f>
        <v>7873.6100000000006</v>
      </c>
      <c r="E86" s="654">
        <f t="shared" si="4"/>
        <v>99.994539016819857</v>
      </c>
      <c r="F86" s="655">
        <f>D86/(C86/4*3)*100</f>
        <v>133.32605202242647</v>
      </c>
      <c r="G86" s="654">
        <f t="shared" si="5"/>
        <v>0.42999999999847205</v>
      </c>
      <c r="H86" s="660"/>
      <c r="I86" s="631" t="s">
        <v>790</v>
      </c>
    </row>
    <row r="87" spans="1:9" s="359" customFormat="1" x14ac:dyDescent="0.25">
      <c r="A87" s="353"/>
      <c r="B87" s="524" t="s">
        <v>791</v>
      </c>
      <c r="C87" s="356">
        <f>SUM(C88:C89)</f>
        <v>2472.6999999999998</v>
      </c>
      <c r="D87" s="356">
        <f>SUM(D88:D89)</f>
        <v>2472.41</v>
      </c>
      <c r="E87" s="356">
        <f t="shared" si="4"/>
        <v>99.988271929469803</v>
      </c>
      <c r="F87" s="356"/>
      <c r="G87" s="363">
        <f t="shared" si="5"/>
        <v>0.28999999999996362</v>
      </c>
      <c r="H87" s="470"/>
      <c r="I87" s="358"/>
    </row>
    <row r="88" spans="1:9" s="359" customFormat="1" ht="63" x14ac:dyDescent="0.25">
      <c r="A88" s="353"/>
      <c r="B88" s="470" t="s">
        <v>558</v>
      </c>
      <c r="C88" s="368">
        <v>2233.9499999999998</v>
      </c>
      <c r="D88" s="368">
        <v>2233.66</v>
      </c>
      <c r="E88" s="356">
        <f t="shared" ref="E88:E101" si="6">SUM(D88/C88*100)</f>
        <v>99.987018509814447</v>
      </c>
      <c r="F88" s="356"/>
      <c r="G88" s="363">
        <f t="shared" si="5"/>
        <v>0.28999999999996362</v>
      </c>
      <c r="H88" s="470"/>
      <c r="I88" s="358"/>
    </row>
    <row r="89" spans="1:9" s="359" customFormat="1" ht="31.5" x14ac:dyDescent="0.25">
      <c r="A89" s="353"/>
      <c r="B89" s="525" t="s">
        <v>559</v>
      </c>
      <c r="C89" s="368">
        <v>238.75</v>
      </c>
      <c r="D89" s="526">
        <v>238.75</v>
      </c>
      <c r="E89" s="356">
        <f t="shared" si="6"/>
        <v>100</v>
      </c>
      <c r="F89" s="356"/>
      <c r="G89" s="363">
        <f t="shared" si="5"/>
        <v>0</v>
      </c>
      <c r="H89" s="470"/>
      <c r="I89" s="358"/>
    </row>
    <row r="90" spans="1:9" s="359" customFormat="1" x14ac:dyDescent="0.25">
      <c r="A90" s="353"/>
      <c r="B90" s="484" t="s">
        <v>560</v>
      </c>
      <c r="C90" s="356">
        <f>SUM(C91:C92)</f>
        <v>480.84999999999997</v>
      </c>
      <c r="D90" s="356">
        <f>SUM(D91:D92)</f>
        <v>480.84999999999997</v>
      </c>
      <c r="E90" s="356">
        <f t="shared" si="6"/>
        <v>100</v>
      </c>
      <c r="F90" s="356"/>
      <c r="G90" s="363">
        <f t="shared" si="5"/>
        <v>0</v>
      </c>
      <c r="H90" s="470"/>
      <c r="I90" s="358"/>
    </row>
    <row r="91" spans="1:9" s="359" customFormat="1" x14ac:dyDescent="0.25">
      <c r="A91" s="353"/>
      <c r="B91" s="527" t="s">
        <v>561</v>
      </c>
      <c r="C91" s="419">
        <v>347.9</v>
      </c>
      <c r="D91" s="368">
        <v>347.9</v>
      </c>
      <c r="E91" s="356">
        <f t="shared" si="6"/>
        <v>100</v>
      </c>
      <c r="F91" s="356"/>
      <c r="G91" s="363">
        <f t="shared" si="5"/>
        <v>0</v>
      </c>
      <c r="H91" s="470"/>
      <c r="I91" s="358"/>
    </row>
    <row r="92" spans="1:9" s="359" customFormat="1" ht="31.5" x14ac:dyDescent="0.25">
      <c r="A92" s="353"/>
      <c r="B92" s="528" t="s">
        <v>562</v>
      </c>
      <c r="C92" s="368">
        <v>132.94999999999999</v>
      </c>
      <c r="D92" s="368">
        <v>132.94999999999999</v>
      </c>
      <c r="E92" s="356">
        <f t="shared" si="6"/>
        <v>100</v>
      </c>
      <c r="F92" s="356"/>
      <c r="G92" s="363">
        <f t="shared" si="5"/>
        <v>0</v>
      </c>
      <c r="H92" s="470"/>
      <c r="I92" s="358"/>
    </row>
    <row r="93" spans="1:9" s="359" customFormat="1" x14ac:dyDescent="0.25">
      <c r="A93" s="353"/>
      <c r="B93" s="484" t="s">
        <v>563</v>
      </c>
      <c r="C93" s="356">
        <f>SUM(C94:C96)</f>
        <v>1649.6599999999999</v>
      </c>
      <c r="D93" s="356">
        <f>SUM(D94:D96)</f>
        <v>1649.6599999999999</v>
      </c>
      <c r="E93" s="356">
        <f t="shared" si="6"/>
        <v>100</v>
      </c>
      <c r="F93" s="356"/>
      <c r="G93" s="363">
        <f t="shared" si="5"/>
        <v>0</v>
      </c>
      <c r="H93" s="470"/>
      <c r="I93" s="358"/>
    </row>
    <row r="94" spans="1:9" s="359" customFormat="1" ht="31.5" x14ac:dyDescent="0.25">
      <c r="A94" s="353"/>
      <c r="B94" s="470" t="s">
        <v>1161</v>
      </c>
      <c r="C94" s="368">
        <v>443.4</v>
      </c>
      <c r="D94" s="368">
        <v>443.4</v>
      </c>
      <c r="E94" s="356">
        <f t="shared" si="6"/>
        <v>100</v>
      </c>
      <c r="F94" s="356"/>
      <c r="G94" s="363">
        <f t="shared" si="5"/>
        <v>0</v>
      </c>
      <c r="H94" s="470"/>
      <c r="I94" s="358"/>
    </row>
    <row r="95" spans="1:9" s="359" customFormat="1" ht="31.5" x14ac:dyDescent="0.25">
      <c r="A95" s="353"/>
      <c r="B95" s="528" t="s">
        <v>562</v>
      </c>
      <c r="C95" s="368">
        <v>690.9</v>
      </c>
      <c r="D95" s="368">
        <v>690.9</v>
      </c>
      <c r="E95" s="356">
        <f t="shared" si="6"/>
        <v>100</v>
      </c>
      <c r="F95" s="356"/>
      <c r="G95" s="363">
        <f t="shared" si="5"/>
        <v>0</v>
      </c>
      <c r="H95" s="470"/>
      <c r="I95" s="358"/>
    </row>
    <row r="96" spans="1:9" s="359" customFormat="1" ht="63" x14ac:dyDescent="0.25">
      <c r="A96" s="353"/>
      <c r="B96" s="470" t="s">
        <v>1160</v>
      </c>
      <c r="C96" s="529">
        <v>515.36</v>
      </c>
      <c r="D96" s="529">
        <v>515.36</v>
      </c>
      <c r="E96" s="356">
        <f t="shared" si="6"/>
        <v>100</v>
      </c>
      <c r="F96" s="356"/>
      <c r="G96" s="363">
        <f t="shared" si="5"/>
        <v>0</v>
      </c>
      <c r="H96" s="470"/>
      <c r="I96" s="358"/>
    </row>
    <row r="97" spans="1:9" s="359" customFormat="1" x14ac:dyDescent="0.25">
      <c r="A97" s="353"/>
      <c r="B97" s="484" t="s">
        <v>566</v>
      </c>
      <c r="C97" s="355">
        <f>C98</f>
        <v>96.3</v>
      </c>
      <c r="D97" s="355">
        <f>D98</f>
        <v>96.16</v>
      </c>
      <c r="E97" s="356">
        <f t="shared" si="6"/>
        <v>99.854620976116308</v>
      </c>
      <c r="F97" s="356"/>
      <c r="G97" s="363">
        <f t="shared" si="5"/>
        <v>0.14000000000000057</v>
      </c>
      <c r="H97" s="470"/>
      <c r="I97" s="358"/>
    </row>
    <row r="98" spans="1:9" s="359" customFormat="1" ht="47.25" x14ac:dyDescent="0.25">
      <c r="A98" s="353"/>
      <c r="B98" s="470" t="s">
        <v>1162</v>
      </c>
      <c r="C98" s="363">
        <v>96.3</v>
      </c>
      <c r="D98" s="363">
        <v>96.16</v>
      </c>
      <c r="E98" s="356">
        <f t="shared" si="6"/>
        <v>99.854620976116308</v>
      </c>
      <c r="F98" s="356"/>
      <c r="G98" s="363">
        <f t="shared" si="5"/>
        <v>0.14000000000000057</v>
      </c>
      <c r="H98" s="470"/>
      <c r="I98" s="358"/>
    </row>
    <row r="99" spans="1:9" s="359" customFormat="1" x14ac:dyDescent="0.25">
      <c r="A99" s="353"/>
      <c r="B99" s="484" t="s">
        <v>568</v>
      </c>
      <c r="C99" s="356">
        <f>SUM(C100:C101)</f>
        <v>3174.53</v>
      </c>
      <c r="D99" s="356">
        <f>SUM(D100:D101)</f>
        <v>3174.53</v>
      </c>
      <c r="E99" s="356">
        <f t="shared" si="6"/>
        <v>100</v>
      </c>
      <c r="F99" s="356"/>
      <c r="G99" s="363">
        <f t="shared" si="5"/>
        <v>0</v>
      </c>
      <c r="H99" s="470"/>
      <c r="I99" s="358"/>
    </row>
    <row r="100" spans="1:9" s="359" customFormat="1" ht="31.5" x14ac:dyDescent="0.25">
      <c r="A100" s="353"/>
      <c r="B100" s="470" t="s">
        <v>569</v>
      </c>
      <c r="C100" s="368">
        <v>2486.5300000000002</v>
      </c>
      <c r="D100" s="368">
        <v>2486.5300000000002</v>
      </c>
      <c r="E100" s="356">
        <f t="shared" si="6"/>
        <v>100</v>
      </c>
      <c r="F100" s="356"/>
      <c r="G100" s="363">
        <f t="shared" si="5"/>
        <v>0</v>
      </c>
      <c r="H100" s="470"/>
      <c r="I100" s="358"/>
    </row>
    <row r="101" spans="1:9" s="359" customFormat="1" ht="47.25" x14ac:dyDescent="0.25">
      <c r="A101" s="353"/>
      <c r="B101" s="470" t="s">
        <v>1163</v>
      </c>
      <c r="C101" s="368">
        <v>688</v>
      </c>
      <c r="D101" s="368">
        <v>688</v>
      </c>
      <c r="E101" s="356">
        <f t="shared" si="6"/>
        <v>100</v>
      </c>
      <c r="F101" s="356"/>
      <c r="G101" s="363">
        <f t="shared" si="5"/>
        <v>0</v>
      </c>
      <c r="H101" s="470"/>
      <c r="I101" s="358"/>
    </row>
    <row r="102" spans="1:9" s="624" customFormat="1" ht="31.5" x14ac:dyDescent="0.25">
      <c r="A102" s="652">
        <v>8</v>
      </c>
      <c r="B102" s="626" t="s">
        <v>1329</v>
      </c>
      <c r="C102" s="663">
        <f>SUM(C103+C104+C115)</f>
        <v>11644.83</v>
      </c>
      <c r="D102" s="663">
        <f>SUM(D103+D104+D115)+D136</f>
        <v>11532.13</v>
      </c>
      <c r="E102" s="654">
        <f>SUM(D102/C102*100)</f>
        <v>99.032188533452185</v>
      </c>
      <c r="F102" s="655">
        <f>D102/(C102/4*3)*100</f>
        <v>132.04291804460291</v>
      </c>
      <c r="G102" s="654">
        <f t="shared" ref="G102:G134" si="7">SUM(C102-D102)</f>
        <v>112.70000000000073</v>
      </c>
      <c r="H102" s="660"/>
      <c r="I102" s="631" t="s">
        <v>1201</v>
      </c>
    </row>
    <row r="103" spans="1:9" s="359" customFormat="1" x14ac:dyDescent="0.25">
      <c r="A103" s="353"/>
      <c r="B103" s="498" t="s">
        <v>519</v>
      </c>
      <c r="C103" s="355">
        <v>10234.93</v>
      </c>
      <c r="D103" s="355">
        <v>10221.92</v>
      </c>
      <c r="E103" s="356">
        <f>SUM(D103/C103*100)</f>
        <v>99.872886282563726</v>
      </c>
      <c r="F103" s="356"/>
      <c r="G103" s="356">
        <f t="shared" si="7"/>
        <v>13.010000000000218</v>
      </c>
      <c r="H103" s="463"/>
      <c r="I103" s="358"/>
    </row>
    <row r="104" spans="1:9" s="359" customFormat="1" x14ac:dyDescent="0.25">
      <c r="A104" s="353">
        <v>1</v>
      </c>
      <c r="B104" s="499" t="s">
        <v>603</v>
      </c>
      <c r="C104" s="355">
        <v>392</v>
      </c>
      <c r="D104" s="355">
        <v>382.31</v>
      </c>
      <c r="E104" s="356">
        <f>SUM(D104/C104*100)</f>
        <v>97.52806122448979</v>
      </c>
      <c r="F104" s="356"/>
      <c r="G104" s="356">
        <f t="shared" si="7"/>
        <v>9.6899999999999977</v>
      </c>
      <c r="H104" s="463"/>
      <c r="I104" s="358"/>
    </row>
    <row r="105" spans="1:9" s="359" customFormat="1" x14ac:dyDescent="0.25">
      <c r="A105" s="353" t="s">
        <v>1052</v>
      </c>
      <c r="B105" s="500" t="s">
        <v>604</v>
      </c>
      <c r="C105" s="487">
        <f>C106+C114+C110</f>
        <v>392</v>
      </c>
      <c r="D105" s="487">
        <f>D106+D114+D110</f>
        <v>382.31</v>
      </c>
      <c r="E105" s="356">
        <f>SUM(D105/C105*100)</f>
        <v>97.52806122448979</v>
      </c>
      <c r="F105" s="356"/>
      <c r="G105" s="356">
        <f t="shared" si="7"/>
        <v>9.6899999999999977</v>
      </c>
      <c r="H105" s="463"/>
      <c r="I105" s="358"/>
    </row>
    <row r="106" spans="1:9" s="359" customFormat="1" ht="31.5" x14ac:dyDescent="0.25">
      <c r="A106" s="353"/>
      <c r="B106" s="400" t="s">
        <v>792</v>
      </c>
      <c r="C106" s="363">
        <f>C107+C108+C109</f>
        <v>206.2</v>
      </c>
      <c r="D106" s="363">
        <f>D107+D108+D109</f>
        <v>197.58</v>
      </c>
      <c r="E106" s="363">
        <f>D106/C106*100</f>
        <v>95.81959262851602</v>
      </c>
      <c r="F106" s="363"/>
      <c r="G106" s="367">
        <f>C106-D106</f>
        <v>8.6199999999999761</v>
      </c>
      <c r="H106" s="400"/>
      <c r="I106" s="358"/>
    </row>
    <row r="107" spans="1:9" s="359" customFormat="1" ht="105" customHeight="1" x14ac:dyDescent="0.25">
      <c r="A107" s="353"/>
      <c r="B107" s="501" t="s">
        <v>793</v>
      </c>
      <c r="C107" s="367">
        <v>141.19999999999999</v>
      </c>
      <c r="D107" s="367">
        <v>132.58000000000001</v>
      </c>
      <c r="E107" s="363">
        <f t="shared" ref="E107:E136" si="8">D107/C107*100</f>
        <v>93.895184135977345</v>
      </c>
      <c r="F107" s="367"/>
      <c r="G107" s="367">
        <f t="shared" ref="G107:G114" si="9">C107-D107</f>
        <v>8.6199999999999761</v>
      </c>
      <c r="H107" s="365" t="s">
        <v>1022</v>
      </c>
      <c r="I107" s="358"/>
    </row>
    <row r="108" spans="1:9" s="359" customFormat="1" ht="31.5" x14ac:dyDescent="0.25">
      <c r="A108" s="353"/>
      <c r="B108" s="501" t="s">
        <v>794</v>
      </c>
      <c r="C108" s="367">
        <v>50</v>
      </c>
      <c r="D108" s="367">
        <v>50</v>
      </c>
      <c r="E108" s="363">
        <f t="shared" si="8"/>
        <v>100</v>
      </c>
      <c r="F108" s="367"/>
      <c r="G108" s="367">
        <f>C108-D108</f>
        <v>0</v>
      </c>
      <c r="H108" s="365" t="s">
        <v>1021</v>
      </c>
      <c r="I108" s="358"/>
    </row>
    <row r="109" spans="1:9" s="359" customFormat="1" ht="31.5" x14ac:dyDescent="0.25">
      <c r="A109" s="353"/>
      <c r="B109" s="502" t="s">
        <v>1019</v>
      </c>
      <c r="C109" s="367">
        <v>15</v>
      </c>
      <c r="D109" s="367">
        <v>15</v>
      </c>
      <c r="E109" s="363">
        <f t="shared" si="8"/>
        <v>100</v>
      </c>
      <c r="F109" s="367"/>
      <c r="G109" s="367"/>
      <c r="H109" s="365" t="s">
        <v>1020</v>
      </c>
      <c r="I109" s="358"/>
    </row>
    <row r="110" spans="1:9" s="359" customFormat="1" ht="47.25" x14ac:dyDescent="0.25">
      <c r="A110" s="353"/>
      <c r="B110" s="400" t="s">
        <v>606</v>
      </c>
      <c r="C110" s="363">
        <f>C111+C112+C113</f>
        <v>139</v>
      </c>
      <c r="D110" s="363">
        <f>D111+D112+D113</f>
        <v>137.93</v>
      </c>
      <c r="E110" s="363">
        <f t="shared" si="8"/>
        <v>99.230215827338128</v>
      </c>
      <c r="F110" s="367"/>
      <c r="G110" s="367">
        <f t="shared" si="9"/>
        <v>1.0699999999999932</v>
      </c>
      <c r="H110" s="400" t="s">
        <v>795</v>
      </c>
      <c r="I110" s="358"/>
    </row>
    <row r="111" spans="1:9" s="359" customFormat="1" ht="78.75" x14ac:dyDescent="0.25">
      <c r="A111" s="353"/>
      <c r="B111" s="501" t="s">
        <v>1023</v>
      </c>
      <c r="C111" s="363">
        <v>35</v>
      </c>
      <c r="D111" s="363">
        <v>35</v>
      </c>
      <c r="E111" s="363">
        <f t="shared" si="8"/>
        <v>100</v>
      </c>
      <c r="F111" s="367"/>
      <c r="G111" s="367">
        <f t="shared" si="9"/>
        <v>0</v>
      </c>
      <c r="H111" s="365" t="s">
        <v>1025</v>
      </c>
      <c r="I111" s="358"/>
    </row>
    <row r="112" spans="1:9" s="359" customFormat="1" ht="31.5" x14ac:dyDescent="0.25">
      <c r="A112" s="353"/>
      <c r="B112" s="502" t="s">
        <v>797</v>
      </c>
      <c r="C112" s="363">
        <v>42</v>
      </c>
      <c r="D112" s="363">
        <v>42</v>
      </c>
      <c r="E112" s="363">
        <f t="shared" si="8"/>
        <v>100</v>
      </c>
      <c r="F112" s="367"/>
      <c r="G112" s="367">
        <f t="shared" si="9"/>
        <v>0</v>
      </c>
      <c r="H112" s="365" t="s">
        <v>1026</v>
      </c>
      <c r="I112" s="358"/>
    </row>
    <row r="113" spans="1:9" s="359" customFormat="1" ht="31.5" x14ac:dyDescent="0.25">
      <c r="A113" s="353"/>
      <c r="B113" s="501" t="s">
        <v>1024</v>
      </c>
      <c r="C113" s="363">
        <v>62</v>
      </c>
      <c r="D113" s="363">
        <v>60.93</v>
      </c>
      <c r="E113" s="363">
        <f t="shared" si="8"/>
        <v>98.274193548387103</v>
      </c>
      <c r="F113" s="367"/>
      <c r="G113" s="367">
        <f t="shared" si="9"/>
        <v>1.0700000000000003</v>
      </c>
      <c r="H113" s="365" t="s">
        <v>1027</v>
      </c>
      <c r="I113" s="358"/>
    </row>
    <row r="114" spans="1:9" s="359" customFormat="1" ht="51" customHeight="1" x14ac:dyDescent="0.25">
      <c r="A114" s="353"/>
      <c r="B114" s="400" t="s">
        <v>796</v>
      </c>
      <c r="C114" s="363">
        <v>46.8</v>
      </c>
      <c r="D114" s="363">
        <v>46.8</v>
      </c>
      <c r="E114" s="363">
        <f t="shared" si="8"/>
        <v>100</v>
      </c>
      <c r="F114" s="367"/>
      <c r="G114" s="367">
        <f t="shared" si="9"/>
        <v>0</v>
      </c>
      <c r="H114" s="399" t="s">
        <v>1028</v>
      </c>
      <c r="I114" s="358"/>
    </row>
    <row r="115" spans="1:9" s="359" customFormat="1" x14ac:dyDescent="0.25">
      <c r="A115" s="353">
        <v>2</v>
      </c>
      <c r="B115" s="499" t="s">
        <v>609</v>
      </c>
      <c r="C115" s="503">
        <f>SUM(C116+C134)</f>
        <v>1017.9</v>
      </c>
      <c r="D115" s="504">
        <f>SUM(D116+D134)</f>
        <v>927.9</v>
      </c>
      <c r="E115" s="505">
        <f t="shared" si="8"/>
        <v>91.158267020335984</v>
      </c>
      <c r="F115" s="505"/>
      <c r="G115" s="505">
        <f t="shared" si="7"/>
        <v>90</v>
      </c>
      <c r="H115" s="463"/>
      <c r="I115" s="358"/>
    </row>
    <row r="116" spans="1:9" s="359" customFormat="1" x14ac:dyDescent="0.25">
      <c r="A116" s="353" t="s">
        <v>1054</v>
      </c>
      <c r="B116" s="506" t="s">
        <v>610</v>
      </c>
      <c r="C116" s="507">
        <f>SUM(C117)</f>
        <v>428</v>
      </c>
      <c r="D116" s="507">
        <f>SUM(D117)</f>
        <v>428</v>
      </c>
      <c r="E116" s="505">
        <f t="shared" si="8"/>
        <v>100</v>
      </c>
      <c r="F116" s="505"/>
      <c r="G116" s="505">
        <f t="shared" si="7"/>
        <v>0</v>
      </c>
      <c r="H116" s="463"/>
      <c r="I116" s="358"/>
    </row>
    <row r="117" spans="1:9" s="359" customFormat="1" ht="31.5" x14ac:dyDescent="0.25">
      <c r="A117" s="353"/>
      <c r="B117" s="508" t="s">
        <v>611</v>
      </c>
      <c r="C117" s="509">
        <f>SUM(C118:C131)</f>
        <v>428</v>
      </c>
      <c r="D117" s="509">
        <f>SUM(D118:D131)</f>
        <v>428</v>
      </c>
      <c r="E117" s="510">
        <f t="shared" si="8"/>
        <v>100</v>
      </c>
      <c r="F117" s="510"/>
      <c r="G117" s="510">
        <f t="shared" si="7"/>
        <v>0</v>
      </c>
      <c r="H117" s="463"/>
      <c r="I117" s="358"/>
    </row>
    <row r="118" spans="1:9" s="359" customFormat="1" x14ac:dyDescent="0.25">
      <c r="A118" s="353"/>
      <c r="B118" s="501" t="s">
        <v>1029</v>
      </c>
      <c r="C118" s="511">
        <v>14</v>
      </c>
      <c r="D118" s="511">
        <v>14</v>
      </c>
      <c r="E118" s="510">
        <f t="shared" si="8"/>
        <v>100</v>
      </c>
      <c r="F118" s="510"/>
      <c r="G118" s="510">
        <f t="shared" si="7"/>
        <v>0</v>
      </c>
      <c r="H118" s="767" t="s">
        <v>1030</v>
      </c>
      <c r="I118" s="358"/>
    </row>
    <row r="119" spans="1:9" s="359" customFormat="1" x14ac:dyDescent="0.25">
      <c r="A119" s="353"/>
      <c r="B119" s="501" t="s">
        <v>1031</v>
      </c>
      <c r="C119" s="511">
        <v>42</v>
      </c>
      <c r="D119" s="511">
        <v>42</v>
      </c>
      <c r="E119" s="510">
        <f t="shared" si="8"/>
        <v>100</v>
      </c>
      <c r="F119" s="510"/>
      <c r="G119" s="510">
        <f t="shared" si="7"/>
        <v>0</v>
      </c>
      <c r="H119" s="768"/>
      <c r="I119" s="358"/>
    </row>
    <row r="120" spans="1:9" s="359" customFormat="1" x14ac:dyDescent="0.25">
      <c r="A120" s="353"/>
      <c r="B120" s="501" t="s">
        <v>1032</v>
      </c>
      <c r="C120" s="511">
        <v>14</v>
      </c>
      <c r="D120" s="511">
        <v>14</v>
      </c>
      <c r="E120" s="510">
        <f t="shared" si="8"/>
        <v>100</v>
      </c>
      <c r="F120" s="510"/>
      <c r="G120" s="510">
        <f t="shared" si="7"/>
        <v>0</v>
      </c>
      <c r="H120" s="769"/>
      <c r="I120" s="358"/>
    </row>
    <row r="121" spans="1:9" s="359" customFormat="1" x14ac:dyDescent="0.25">
      <c r="A121" s="353"/>
      <c r="B121" s="501" t="s">
        <v>1033</v>
      </c>
      <c r="C121" s="511">
        <v>15</v>
      </c>
      <c r="D121" s="511">
        <v>15</v>
      </c>
      <c r="E121" s="510">
        <f t="shared" si="8"/>
        <v>100</v>
      </c>
      <c r="F121" s="510"/>
      <c r="G121" s="510">
        <f t="shared" si="7"/>
        <v>0</v>
      </c>
      <c r="H121" s="767" t="s">
        <v>1034</v>
      </c>
      <c r="I121" s="358"/>
    </row>
    <row r="122" spans="1:9" s="359" customFormat="1" x14ac:dyDescent="0.25">
      <c r="A122" s="353"/>
      <c r="B122" s="501" t="s">
        <v>1035</v>
      </c>
      <c r="C122" s="511">
        <v>30</v>
      </c>
      <c r="D122" s="511">
        <v>30</v>
      </c>
      <c r="E122" s="510">
        <f t="shared" si="8"/>
        <v>100</v>
      </c>
      <c r="F122" s="510"/>
      <c r="G122" s="510">
        <f t="shared" si="7"/>
        <v>0</v>
      </c>
      <c r="H122" s="768"/>
      <c r="I122" s="358"/>
    </row>
    <row r="123" spans="1:9" s="359" customFormat="1" x14ac:dyDescent="0.25">
      <c r="A123" s="353"/>
      <c r="B123" s="501" t="s">
        <v>1036</v>
      </c>
      <c r="C123" s="511">
        <v>15</v>
      </c>
      <c r="D123" s="511">
        <v>15</v>
      </c>
      <c r="E123" s="510">
        <f t="shared" si="8"/>
        <v>100</v>
      </c>
      <c r="F123" s="510"/>
      <c r="G123" s="510">
        <f t="shared" si="7"/>
        <v>0</v>
      </c>
      <c r="H123" s="769"/>
      <c r="I123" s="358"/>
    </row>
    <row r="124" spans="1:9" s="359" customFormat="1" x14ac:dyDescent="0.25">
      <c r="A124" s="353"/>
      <c r="B124" s="501" t="s">
        <v>1037</v>
      </c>
      <c r="C124" s="511">
        <v>28</v>
      </c>
      <c r="D124" s="511">
        <v>28</v>
      </c>
      <c r="E124" s="510">
        <f t="shared" si="8"/>
        <v>100</v>
      </c>
      <c r="F124" s="510"/>
      <c r="G124" s="510">
        <f t="shared" si="7"/>
        <v>0</v>
      </c>
      <c r="H124" s="767" t="s">
        <v>1038</v>
      </c>
      <c r="I124" s="358"/>
    </row>
    <row r="125" spans="1:9" s="359" customFormat="1" x14ac:dyDescent="0.25">
      <c r="A125" s="353"/>
      <c r="B125" s="501" t="s">
        <v>1039</v>
      </c>
      <c r="C125" s="511">
        <v>28</v>
      </c>
      <c r="D125" s="511">
        <v>28</v>
      </c>
      <c r="E125" s="510">
        <f t="shared" si="8"/>
        <v>100</v>
      </c>
      <c r="F125" s="510"/>
      <c r="G125" s="510">
        <f t="shared" si="7"/>
        <v>0</v>
      </c>
      <c r="H125" s="768"/>
      <c r="I125" s="358"/>
    </row>
    <row r="126" spans="1:9" s="359" customFormat="1" x14ac:dyDescent="0.25">
      <c r="A126" s="353"/>
      <c r="B126" s="501" t="s">
        <v>1040</v>
      </c>
      <c r="C126" s="511">
        <v>18</v>
      </c>
      <c r="D126" s="511">
        <v>18</v>
      </c>
      <c r="E126" s="510">
        <f t="shared" si="8"/>
        <v>100</v>
      </c>
      <c r="F126" s="510"/>
      <c r="G126" s="510">
        <f t="shared" si="7"/>
        <v>0</v>
      </c>
      <c r="H126" s="769"/>
      <c r="I126" s="358"/>
    </row>
    <row r="127" spans="1:9" s="359" customFormat="1" x14ac:dyDescent="0.25">
      <c r="A127" s="353"/>
      <c r="B127" s="501" t="s">
        <v>1041</v>
      </c>
      <c r="C127" s="511">
        <v>10</v>
      </c>
      <c r="D127" s="511">
        <v>10</v>
      </c>
      <c r="E127" s="510">
        <f t="shared" si="8"/>
        <v>100</v>
      </c>
      <c r="F127" s="510"/>
      <c r="G127" s="510">
        <f t="shared" si="7"/>
        <v>0</v>
      </c>
      <c r="H127" s="767" t="s">
        <v>1042</v>
      </c>
      <c r="I127" s="358"/>
    </row>
    <row r="128" spans="1:9" s="359" customFormat="1" x14ac:dyDescent="0.25">
      <c r="A128" s="353"/>
      <c r="B128" s="512" t="s">
        <v>1043</v>
      </c>
      <c r="C128" s="513">
        <v>10</v>
      </c>
      <c r="D128" s="513">
        <v>10</v>
      </c>
      <c r="E128" s="510">
        <f t="shared" si="8"/>
        <v>100</v>
      </c>
      <c r="F128" s="510"/>
      <c r="G128" s="510">
        <f t="shared" si="7"/>
        <v>0</v>
      </c>
      <c r="H128" s="769"/>
      <c r="I128" s="358"/>
    </row>
    <row r="129" spans="1:9" s="359" customFormat="1" ht="31.5" x14ac:dyDescent="0.25">
      <c r="A129" s="353"/>
      <c r="B129" s="501" t="s">
        <v>1044</v>
      </c>
      <c r="C129" s="511">
        <v>70</v>
      </c>
      <c r="D129" s="511">
        <v>70</v>
      </c>
      <c r="E129" s="510">
        <f t="shared" si="8"/>
        <v>100</v>
      </c>
      <c r="F129" s="510"/>
      <c r="G129" s="510">
        <f t="shared" si="7"/>
        <v>0</v>
      </c>
      <c r="H129" s="365" t="s">
        <v>1045</v>
      </c>
      <c r="I129" s="358"/>
    </row>
    <row r="130" spans="1:9" s="359" customFormat="1" ht="47.25" x14ac:dyDescent="0.25">
      <c r="A130" s="353"/>
      <c r="B130" s="514" t="s">
        <v>1046</v>
      </c>
      <c r="C130" s="515">
        <v>66</v>
      </c>
      <c r="D130" s="515">
        <v>66</v>
      </c>
      <c r="E130" s="510">
        <f t="shared" si="8"/>
        <v>100</v>
      </c>
      <c r="F130" s="510"/>
      <c r="G130" s="510">
        <f t="shared" si="7"/>
        <v>0</v>
      </c>
      <c r="H130" s="365" t="s">
        <v>1047</v>
      </c>
      <c r="I130" s="358"/>
    </row>
    <row r="131" spans="1:9" s="359" customFormat="1" ht="31.5" x14ac:dyDescent="0.25">
      <c r="A131" s="353"/>
      <c r="B131" s="502" t="s">
        <v>1048</v>
      </c>
      <c r="C131" s="515">
        <v>68</v>
      </c>
      <c r="D131" s="515">
        <v>68</v>
      </c>
      <c r="E131" s="510">
        <f t="shared" si="8"/>
        <v>100</v>
      </c>
      <c r="F131" s="510"/>
      <c r="G131" s="510">
        <f t="shared" si="7"/>
        <v>0</v>
      </c>
      <c r="H131" s="516" t="s">
        <v>1049</v>
      </c>
      <c r="I131" s="358"/>
    </row>
    <row r="132" spans="1:9" s="520" customFormat="1" ht="31.5" x14ac:dyDescent="0.25">
      <c r="A132" s="517" t="s">
        <v>1053</v>
      </c>
      <c r="B132" s="518" t="s">
        <v>612</v>
      </c>
      <c r="C132" s="507">
        <v>0</v>
      </c>
      <c r="D132" s="507">
        <v>0</v>
      </c>
      <c r="E132" s="519">
        <v>0</v>
      </c>
      <c r="F132" s="519"/>
      <c r="G132" s="519">
        <f t="shared" si="7"/>
        <v>0</v>
      </c>
      <c r="H132" s="469"/>
      <c r="I132" s="498"/>
    </row>
    <row r="133" spans="1:9" s="359" customFormat="1" ht="31.5" x14ac:dyDescent="0.25">
      <c r="A133" s="521"/>
      <c r="B133" s="470" t="s">
        <v>1050</v>
      </c>
      <c r="C133" s="522">
        <v>0</v>
      </c>
      <c r="D133" s="522">
        <v>0</v>
      </c>
      <c r="E133" s="505">
        <v>0</v>
      </c>
      <c r="F133" s="515"/>
      <c r="G133" s="505">
        <f t="shared" si="7"/>
        <v>0</v>
      </c>
      <c r="H133" s="399" t="s">
        <v>798</v>
      </c>
      <c r="I133" s="358"/>
    </row>
    <row r="134" spans="1:9" s="520" customFormat="1" x14ac:dyDescent="0.25">
      <c r="A134" s="517" t="s">
        <v>1055</v>
      </c>
      <c r="B134" s="506" t="s">
        <v>613</v>
      </c>
      <c r="C134" s="507">
        <f>C135+C136</f>
        <v>589.9</v>
      </c>
      <c r="D134" s="507">
        <f>D135+D136</f>
        <v>499.9</v>
      </c>
      <c r="E134" s="519">
        <f t="shared" si="8"/>
        <v>84.74317680962875</v>
      </c>
      <c r="F134" s="519"/>
      <c r="G134" s="519">
        <f t="shared" si="7"/>
        <v>90</v>
      </c>
      <c r="H134" s="523"/>
      <c r="I134" s="498"/>
    </row>
    <row r="135" spans="1:9" s="359" customFormat="1" ht="63" x14ac:dyDescent="0.25">
      <c r="A135" s="353"/>
      <c r="B135" s="400" t="s">
        <v>55</v>
      </c>
      <c r="C135" s="505">
        <v>499.9</v>
      </c>
      <c r="D135" s="505">
        <v>499.9</v>
      </c>
      <c r="E135" s="505">
        <f t="shared" si="8"/>
        <v>100</v>
      </c>
      <c r="F135" s="505"/>
      <c r="G135" s="505">
        <f>C135-D135</f>
        <v>0</v>
      </c>
      <c r="H135" s="399" t="s">
        <v>799</v>
      </c>
      <c r="I135" s="358"/>
    </row>
    <row r="136" spans="1:9" s="359" customFormat="1" ht="65.25" customHeight="1" x14ac:dyDescent="0.25">
      <c r="A136" s="353"/>
      <c r="B136" s="470" t="s">
        <v>1051</v>
      </c>
      <c r="C136" s="505">
        <v>90</v>
      </c>
      <c r="D136" s="505">
        <v>0</v>
      </c>
      <c r="E136" s="505">
        <f t="shared" si="8"/>
        <v>0</v>
      </c>
      <c r="F136" s="505"/>
      <c r="G136" s="505">
        <f>C136-D136</f>
        <v>90</v>
      </c>
      <c r="H136" s="400" t="s">
        <v>800</v>
      </c>
      <c r="I136" s="358"/>
    </row>
    <row r="137" spans="1:9" s="624" customFormat="1" x14ac:dyDescent="0.25">
      <c r="A137" s="652">
        <v>9</v>
      </c>
      <c r="B137" s="628" t="s">
        <v>1380</v>
      </c>
      <c r="C137" s="672">
        <f>SUM(C138+C144+C150)</f>
        <v>187</v>
      </c>
      <c r="D137" s="672">
        <f>SUM(D138+D144+D150)</f>
        <v>187</v>
      </c>
      <c r="E137" s="654">
        <f t="shared" ref="E137:E160" si="10">SUM(D137/C137*100)</f>
        <v>100</v>
      </c>
      <c r="F137" s="655">
        <f>D137/(C137/4*3)*100</f>
        <v>133.33333333333331</v>
      </c>
      <c r="G137" s="654">
        <f t="shared" ref="G137:G183" si="11">SUM(C137-D137)</f>
        <v>0</v>
      </c>
      <c r="H137" s="660"/>
      <c r="I137" s="631" t="s">
        <v>1084</v>
      </c>
    </row>
    <row r="138" spans="1:9" s="359" customFormat="1" ht="31.5" x14ac:dyDescent="0.25">
      <c r="A138" s="353"/>
      <c r="B138" s="354" t="s">
        <v>598</v>
      </c>
      <c r="C138" s="355">
        <f>SUM(C139:C143)</f>
        <v>120</v>
      </c>
      <c r="D138" s="355">
        <f>SUM(D139:D143)</f>
        <v>120</v>
      </c>
      <c r="E138" s="356">
        <f t="shared" si="10"/>
        <v>100</v>
      </c>
      <c r="F138" s="356"/>
      <c r="G138" s="356">
        <f t="shared" si="11"/>
        <v>0</v>
      </c>
      <c r="H138" s="357"/>
      <c r="I138" s="358"/>
    </row>
    <row r="139" spans="1:9" s="359" customFormat="1" x14ac:dyDescent="0.25">
      <c r="A139" s="353"/>
      <c r="B139" s="360" t="s">
        <v>801</v>
      </c>
      <c r="C139" s="361">
        <v>20</v>
      </c>
      <c r="D139" s="362">
        <v>20</v>
      </c>
      <c r="E139" s="363">
        <f>SUM(D139/C139*100)</f>
        <v>100</v>
      </c>
      <c r="F139" s="363"/>
      <c r="G139" s="363">
        <f t="shared" si="11"/>
        <v>0</v>
      </c>
      <c r="H139" s="357"/>
      <c r="I139" s="358"/>
    </row>
    <row r="140" spans="1:9" s="359" customFormat="1" x14ac:dyDescent="0.25">
      <c r="A140" s="353"/>
      <c r="B140" s="360" t="s">
        <v>802</v>
      </c>
      <c r="C140" s="361">
        <v>10</v>
      </c>
      <c r="D140" s="362">
        <v>10</v>
      </c>
      <c r="E140" s="363">
        <f>SUM(D140/C140*100)</f>
        <v>100</v>
      </c>
      <c r="F140" s="363"/>
      <c r="G140" s="363">
        <f t="shared" si="11"/>
        <v>0</v>
      </c>
      <c r="H140" s="357"/>
      <c r="I140" s="358"/>
    </row>
    <row r="141" spans="1:9" s="359" customFormat="1" x14ac:dyDescent="0.25">
      <c r="A141" s="353"/>
      <c r="B141" s="360" t="s">
        <v>803</v>
      </c>
      <c r="C141" s="361">
        <v>60</v>
      </c>
      <c r="D141" s="362">
        <v>60</v>
      </c>
      <c r="E141" s="363">
        <f>SUM(D141/C141*100)</f>
        <v>100</v>
      </c>
      <c r="F141" s="363"/>
      <c r="G141" s="363">
        <f t="shared" si="11"/>
        <v>0</v>
      </c>
      <c r="H141" s="357"/>
      <c r="I141" s="358"/>
    </row>
    <row r="142" spans="1:9" s="359" customFormat="1" x14ac:dyDescent="0.25">
      <c r="A142" s="353"/>
      <c r="B142" s="399" t="s">
        <v>804</v>
      </c>
      <c r="C142" s="362">
        <v>20</v>
      </c>
      <c r="D142" s="362">
        <v>20</v>
      </c>
      <c r="E142" s="363">
        <f>SUM(D142/C142*100)</f>
        <v>100</v>
      </c>
      <c r="F142" s="363"/>
      <c r="G142" s="363">
        <f t="shared" si="11"/>
        <v>0</v>
      </c>
      <c r="H142" s="357"/>
      <c r="I142" s="358"/>
    </row>
    <row r="143" spans="1:9" s="359" customFormat="1" x14ac:dyDescent="0.25">
      <c r="A143" s="353"/>
      <c r="B143" s="399" t="s">
        <v>805</v>
      </c>
      <c r="C143" s="362">
        <v>10</v>
      </c>
      <c r="D143" s="362">
        <v>10</v>
      </c>
      <c r="E143" s="363">
        <f>SUM(D143/C143*100)</f>
        <v>100</v>
      </c>
      <c r="F143" s="363"/>
      <c r="G143" s="363">
        <f t="shared" si="11"/>
        <v>0</v>
      </c>
      <c r="H143" s="357"/>
      <c r="I143" s="358"/>
    </row>
    <row r="144" spans="1:9" s="359" customFormat="1" x14ac:dyDescent="0.25">
      <c r="A144" s="353"/>
      <c r="B144" s="364" t="s">
        <v>599</v>
      </c>
      <c r="C144" s="355">
        <f>SUM(C145+C147)</f>
        <v>40</v>
      </c>
      <c r="D144" s="355">
        <f>SUM(D145+D147)</f>
        <v>40</v>
      </c>
      <c r="E144" s="356">
        <f t="shared" si="10"/>
        <v>100</v>
      </c>
      <c r="F144" s="356"/>
      <c r="G144" s="356">
        <f t="shared" si="11"/>
        <v>0</v>
      </c>
      <c r="H144" s="357"/>
      <c r="I144" s="358"/>
    </row>
    <row r="145" spans="1:9" s="359" customFormat="1" ht="31.5" x14ac:dyDescent="0.25">
      <c r="A145" s="353"/>
      <c r="B145" s="365" t="s">
        <v>600</v>
      </c>
      <c r="C145" s="366">
        <v>20</v>
      </c>
      <c r="D145" s="366">
        <v>20</v>
      </c>
      <c r="E145" s="367">
        <f t="shared" si="10"/>
        <v>100</v>
      </c>
      <c r="F145" s="367"/>
      <c r="G145" s="367">
        <f t="shared" si="11"/>
        <v>0</v>
      </c>
      <c r="H145" s="357"/>
      <c r="I145" s="358"/>
    </row>
    <row r="146" spans="1:9" s="359" customFormat="1" x14ac:dyDescent="0.25">
      <c r="A146" s="353"/>
      <c r="B146" s="399" t="s">
        <v>806</v>
      </c>
      <c r="C146" s="368">
        <v>20</v>
      </c>
      <c r="D146" s="368">
        <v>20</v>
      </c>
      <c r="E146" s="363">
        <f t="shared" si="10"/>
        <v>100</v>
      </c>
      <c r="F146" s="363"/>
      <c r="G146" s="363">
        <f t="shared" si="11"/>
        <v>0</v>
      </c>
      <c r="H146" s="357"/>
      <c r="I146" s="358"/>
    </row>
    <row r="147" spans="1:9" s="359" customFormat="1" ht="31.5" x14ac:dyDescent="0.25">
      <c r="A147" s="353"/>
      <c r="B147" s="369" t="s">
        <v>601</v>
      </c>
      <c r="C147" s="366">
        <v>20</v>
      </c>
      <c r="D147" s="366">
        <f>D148+D149</f>
        <v>20</v>
      </c>
      <c r="E147" s="367">
        <f t="shared" si="10"/>
        <v>100</v>
      </c>
      <c r="F147" s="367"/>
      <c r="G147" s="367">
        <f t="shared" si="11"/>
        <v>0</v>
      </c>
      <c r="H147" s="357"/>
      <c r="I147" s="358"/>
    </row>
    <row r="148" spans="1:9" s="359" customFormat="1" x14ac:dyDescent="0.25">
      <c r="A148" s="353"/>
      <c r="B148" s="399" t="s">
        <v>807</v>
      </c>
      <c r="C148" s="368">
        <v>10</v>
      </c>
      <c r="D148" s="361">
        <v>10</v>
      </c>
      <c r="E148" s="361">
        <v>0</v>
      </c>
      <c r="F148" s="361"/>
      <c r="G148" s="361">
        <v>0</v>
      </c>
      <c r="H148" s="357"/>
      <c r="I148" s="358"/>
    </row>
    <row r="149" spans="1:9" s="359" customFormat="1" x14ac:dyDescent="0.25">
      <c r="A149" s="353"/>
      <c r="B149" s="399" t="s">
        <v>808</v>
      </c>
      <c r="C149" s="368">
        <v>10</v>
      </c>
      <c r="D149" s="361">
        <v>10</v>
      </c>
      <c r="E149" s="361">
        <v>0</v>
      </c>
      <c r="F149" s="361"/>
      <c r="G149" s="361">
        <v>0</v>
      </c>
      <c r="H149" s="357"/>
      <c r="I149" s="358"/>
    </row>
    <row r="150" spans="1:9" s="359" customFormat="1" x14ac:dyDescent="0.25">
      <c r="A150" s="353"/>
      <c r="B150" s="354" t="s">
        <v>602</v>
      </c>
      <c r="C150" s="355">
        <f>SUM(C151:C161)</f>
        <v>27</v>
      </c>
      <c r="D150" s="355">
        <f>SUM(D151:D161)</f>
        <v>27</v>
      </c>
      <c r="E150" s="356">
        <f t="shared" si="10"/>
        <v>100</v>
      </c>
      <c r="F150" s="356"/>
      <c r="G150" s="356">
        <f t="shared" si="11"/>
        <v>0</v>
      </c>
      <c r="H150" s="400"/>
      <c r="I150" s="358"/>
    </row>
    <row r="151" spans="1:9" s="359" customFormat="1" x14ac:dyDescent="0.25">
      <c r="A151" s="353"/>
      <c r="B151" s="360" t="s">
        <v>809</v>
      </c>
      <c r="C151" s="361">
        <v>0</v>
      </c>
      <c r="D151" s="362">
        <v>0</v>
      </c>
      <c r="E151" s="363">
        <v>0</v>
      </c>
      <c r="F151" s="363"/>
      <c r="G151" s="363">
        <f t="shared" si="11"/>
        <v>0</v>
      </c>
      <c r="H151" s="400" t="s">
        <v>810</v>
      </c>
      <c r="I151" s="358"/>
    </row>
    <row r="152" spans="1:9" s="359" customFormat="1" x14ac:dyDescent="0.25">
      <c r="A152" s="353"/>
      <c r="B152" s="360" t="s">
        <v>811</v>
      </c>
      <c r="C152" s="361">
        <v>3</v>
      </c>
      <c r="D152" s="361">
        <v>3</v>
      </c>
      <c r="E152" s="363">
        <f t="shared" si="10"/>
        <v>100</v>
      </c>
      <c r="F152" s="363"/>
      <c r="G152" s="363">
        <f t="shared" si="11"/>
        <v>0</v>
      </c>
      <c r="H152" s="357"/>
      <c r="I152" s="358"/>
    </row>
    <row r="153" spans="1:9" s="359" customFormat="1" x14ac:dyDescent="0.25">
      <c r="A153" s="353"/>
      <c r="B153" s="360" t="s">
        <v>812</v>
      </c>
      <c r="C153" s="361">
        <v>3</v>
      </c>
      <c r="D153" s="361">
        <v>3</v>
      </c>
      <c r="E153" s="363">
        <f t="shared" si="10"/>
        <v>100</v>
      </c>
      <c r="F153" s="363"/>
      <c r="G153" s="363">
        <f t="shared" si="11"/>
        <v>0</v>
      </c>
      <c r="H153" s="357"/>
      <c r="I153" s="358"/>
    </row>
    <row r="154" spans="1:9" s="359" customFormat="1" x14ac:dyDescent="0.25">
      <c r="A154" s="353"/>
      <c r="B154" s="360" t="s">
        <v>813</v>
      </c>
      <c r="C154" s="361">
        <v>2</v>
      </c>
      <c r="D154" s="361">
        <v>2</v>
      </c>
      <c r="E154" s="363">
        <f t="shared" si="10"/>
        <v>100</v>
      </c>
      <c r="F154" s="363"/>
      <c r="G154" s="363">
        <f t="shared" si="11"/>
        <v>0</v>
      </c>
      <c r="H154" s="357"/>
      <c r="I154" s="358"/>
    </row>
    <row r="155" spans="1:9" s="359" customFormat="1" x14ac:dyDescent="0.25">
      <c r="A155" s="353"/>
      <c r="B155" s="360" t="s">
        <v>814</v>
      </c>
      <c r="C155" s="361">
        <v>8</v>
      </c>
      <c r="D155" s="362">
        <v>8</v>
      </c>
      <c r="E155" s="363">
        <f t="shared" si="10"/>
        <v>100</v>
      </c>
      <c r="F155" s="363"/>
      <c r="G155" s="363">
        <f t="shared" si="11"/>
        <v>0</v>
      </c>
      <c r="H155" s="357"/>
      <c r="I155" s="358"/>
    </row>
    <row r="156" spans="1:9" s="359" customFormat="1" x14ac:dyDescent="0.25">
      <c r="A156" s="353"/>
      <c r="B156" s="360" t="s">
        <v>815</v>
      </c>
      <c r="C156" s="361">
        <v>7</v>
      </c>
      <c r="D156" s="361">
        <v>7</v>
      </c>
      <c r="E156" s="363">
        <f t="shared" si="10"/>
        <v>100</v>
      </c>
      <c r="F156" s="363"/>
      <c r="G156" s="363">
        <f t="shared" si="11"/>
        <v>0</v>
      </c>
      <c r="H156" s="357"/>
      <c r="I156" s="358"/>
    </row>
    <row r="157" spans="1:9" s="359" customFormat="1" x14ac:dyDescent="0.25">
      <c r="A157" s="353"/>
      <c r="B157" s="360" t="s">
        <v>816</v>
      </c>
      <c r="C157" s="361">
        <v>2</v>
      </c>
      <c r="D157" s="362">
        <v>2</v>
      </c>
      <c r="E157" s="363">
        <f t="shared" si="10"/>
        <v>100</v>
      </c>
      <c r="F157" s="363"/>
      <c r="G157" s="363">
        <f t="shared" si="11"/>
        <v>0</v>
      </c>
      <c r="H157" s="357"/>
      <c r="I157" s="358"/>
    </row>
    <row r="158" spans="1:9" s="359" customFormat="1" x14ac:dyDescent="0.25">
      <c r="A158" s="353"/>
      <c r="B158" s="360" t="s">
        <v>817</v>
      </c>
      <c r="C158" s="361">
        <v>0</v>
      </c>
      <c r="D158" s="362">
        <v>0</v>
      </c>
      <c r="E158" s="363">
        <v>0</v>
      </c>
      <c r="F158" s="363"/>
      <c r="G158" s="363">
        <f t="shared" si="11"/>
        <v>0</v>
      </c>
      <c r="H158" s="400" t="s">
        <v>810</v>
      </c>
      <c r="I158" s="358"/>
    </row>
    <row r="159" spans="1:9" s="359" customFormat="1" x14ac:dyDescent="0.25">
      <c r="A159" s="353"/>
      <c r="B159" s="360" t="s">
        <v>818</v>
      </c>
      <c r="C159" s="361">
        <v>0</v>
      </c>
      <c r="D159" s="362">
        <v>0</v>
      </c>
      <c r="E159" s="363">
        <v>0</v>
      </c>
      <c r="F159" s="363"/>
      <c r="G159" s="363">
        <f t="shared" si="11"/>
        <v>0</v>
      </c>
      <c r="H159" s="400" t="s">
        <v>810</v>
      </c>
      <c r="I159" s="358"/>
    </row>
    <row r="160" spans="1:9" s="359" customFormat="1" x14ac:dyDescent="0.25">
      <c r="A160" s="353"/>
      <c r="B160" s="360" t="s">
        <v>819</v>
      </c>
      <c r="C160" s="361">
        <v>2</v>
      </c>
      <c r="D160" s="362">
        <v>2</v>
      </c>
      <c r="E160" s="363">
        <f t="shared" si="10"/>
        <v>100</v>
      </c>
      <c r="F160" s="363"/>
      <c r="G160" s="363">
        <f t="shared" si="11"/>
        <v>0</v>
      </c>
      <c r="H160" s="400"/>
      <c r="I160" s="358"/>
    </row>
    <row r="161" spans="1:9" s="359" customFormat="1" ht="31.5" x14ac:dyDescent="0.25">
      <c r="A161" s="353"/>
      <c r="B161" s="399" t="s">
        <v>820</v>
      </c>
      <c r="C161" s="362">
        <v>0</v>
      </c>
      <c r="D161" s="362">
        <v>0</v>
      </c>
      <c r="E161" s="363">
        <v>0</v>
      </c>
      <c r="F161" s="363"/>
      <c r="G161" s="363">
        <f t="shared" si="11"/>
        <v>0</v>
      </c>
      <c r="H161" s="400" t="s">
        <v>810</v>
      </c>
      <c r="I161" s="358"/>
    </row>
    <row r="162" spans="1:9" s="624" customFormat="1" ht="31.5" x14ac:dyDescent="0.25">
      <c r="A162" s="652">
        <v>10</v>
      </c>
      <c r="B162" s="627" t="s">
        <v>1300</v>
      </c>
      <c r="C162" s="672">
        <f>SUM(C163+C168)</f>
        <v>1887.0549999999998</v>
      </c>
      <c r="D162" s="672">
        <f>SUM(D163+D168)</f>
        <v>1798.1859999999999</v>
      </c>
      <c r="E162" s="654">
        <f t="shared" ref="E162:E181" si="12">SUM(D162/C162*100)</f>
        <v>95.290598313244715</v>
      </c>
      <c r="F162" s="655">
        <f>D162/(C162/4*3)*100</f>
        <v>127.0541310843263</v>
      </c>
      <c r="G162" s="654">
        <f t="shared" si="11"/>
        <v>88.868999999999915</v>
      </c>
      <c r="H162" s="660"/>
      <c r="I162" s="675" t="s">
        <v>821</v>
      </c>
    </row>
    <row r="163" spans="1:9" s="359" customFormat="1" ht="84.75" customHeight="1" x14ac:dyDescent="0.25">
      <c r="A163" s="353"/>
      <c r="B163" s="490" t="s">
        <v>538</v>
      </c>
      <c r="C163" s="491">
        <f>SUM(C164:C167)</f>
        <v>835.82999999999993</v>
      </c>
      <c r="D163" s="491">
        <f>SUM(D164:D167)</f>
        <v>746.96100000000001</v>
      </c>
      <c r="E163" s="356">
        <f t="shared" si="12"/>
        <v>89.367574746060811</v>
      </c>
      <c r="F163" s="492"/>
      <c r="G163" s="491">
        <f>SUM(G164:G167)</f>
        <v>88.868999999999915</v>
      </c>
      <c r="H163" s="357"/>
      <c r="I163" s="358"/>
    </row>
    <row r="164" spans="1:9" s="359" customFormat="1" ht="19.5" customHeight="1" x14ac:dyDescent="0.25">
      <c r="A164" s="353"/>
      <c r="B164" s="493" t="s">
        <v>539</v>
      </c>
      <c r="C164" s="362">
        <v>678.41</v>
      </c>
      <c r="D164" s="362">
        <v>589.54100000000005</v>
      </c>
      <c r="E164" s="363">
        <f>SUM(D164/C164*100)</f>
        <v>86.900399463451322</v>
      </c>
      <c r="F164" s="363"/>
      <c r="G164" s="363">
        <f>C164-D164</f>
        <v>88.868999999999915</v>
      </c>
      <c r="H164" s="357" t="s">
        <v>963</v>
      </c>
      <c r="I164" s="358"/>
    </row>
    <row r="165" spans="1:9" s="359" customFormat="1" ht="116.25" customHeight="1" x14ac:dyDescent="0.25">
      <c r="A165" s="353"/>
      <c r="B165" s="493" t="s">
        <v>540</v>
      </c>
      <c r="C165" s="362">
        <v>133.4</v>
      </c>
      <c r="D165" s="362">
        <v>133.4</v>
      </c>
      <c r="E165" s="363">
        <f t="shared" si="12"/>
        <v>100</v>
      </c>
      <c r="F165" s="363"/>
      <c r="G165" s="363">
        <f>C165-D165</f>
        <v>0</v>
      </c>
      <c r="H165" s="357" t="s">
        <v>1115</v>
      </c>
      <c r="I165" s="358"/>
    </row>
    <row r="166" spans="1:9" s="359" customFormat="1" ht="47.25" x14ac:dyDescent="0.25">
      <c r="A166" s="353"/>
      <c r="B166" s="493" t="s">
        <v>541</v>
      </c>
      <c r="C166" s="362">
        <v>16.77</v>
      </c>
      <c r="D166" s="362">
        <v>16.77</v>
      </c>
      <c r="E166" s="363">
        <f t="shared" si="12"/>
        <v>100</v>
      </c>
      <c r="F166" s="363"/>
      <c r="G166" s="363">
        <f>C166-D166</f>
        <v>0</v>
      </c>
      <c r="H166" s="399" t="s">
        <v>964</v>
      </c>
      <c r="I166" s="358"/>
    </row>
    <row r="167" spans="1:9" s="359" customFormat="1" x14ac:dyDescent="0.25">
      <c r="A167" s="353"/>
      <c r="B167" s="493" t="s">
        <v>542</v>
      </c>
      <c r="C167" s="362">
        <v>7.25</v>
      </c>
      <c r="D167" s="362">
        <v>7.25</v>
      </c>
      <c r="E167" s="363">
        <f t="shared" si="12"/>
        <v>100</v>
      </c>
      <c r="F167" s="363"/>
      <c r="G167" s="363">
        <f>C167-D167</f>
        <v>0</v>
      </c>
      <c r="H167" s="357"/>
      <c r="I167" s="358"/>
    </row>
    <row r="168" spans="1:9" s="359" customFormat="1" ht="47.25" x14ac:dyDescent="0.25">
      <c r="A168" s="353"/>
      <c r="B168" s="490" t="s">
        <v>543</v>
      </c>
      <c r="C168" s="494">
        <f>SUM(C169:C177)</f>
        <v>1051.2249999999999</v>
      </c>
      <c r="D168" s="494">
        <f>SUM(D169:D177)</f>
        <v>1051.2249999999999</v>
      </c>
      <c r="E168" s="356">
        <f>D168/C168*100</f>
        <v>100</v>
      </c>
      <c r="F168" s="356"/>
      <c r="G168" s="494">
        <f>SUM(G169:G177)</f>
        <v>0</v>
      </c>
      <c r="H168" s="495"/>
      <c r="I168" s="358"/>
    </row>
    <row r="169" spans="1:9" s="359" customFormat="1" ht="99.75" customHeight="1" x14ac:dyDescent="0.25">
      <c r="A169" s="353"/>
      <c r="B169" s="496" t="s">
        <v>544</v>
      </c>
      <c r="C169" s="362">
        <v>459.62</v>
      </c>
      <c r="D169" s="362">
        <v>459.62</v>
      </c>
      <c r="E169" s="363">
        <f t="shared" si="12"/>
        <v>100</v>
      </c>
      <c r="F169" s="363"/>
      <c r="G169" s="363">
        <f t="shared" ref="G169:G177" si="13">C169-D169</f>
        <v>0</v>
      </c>
      <c r="H169" s="357" t="s">
        <v>1116</v>
      </c>
      <c r="I169" s="358"/>
    </row>
    <row r="170" spans="1:9" s="359" customFormat="1" ht="63" x14ac:dyDescent="0.25">
      <c r="A170" s="353"/>
      <c r="B170" s="496" t="s">
        <v>545</v>
      </c>
      <c r="C170" s="362">
        <v>190</v>
      </c>
      <c r="D170" s="362">
        <v>190</v>
      </c>
      <c r="E170" s="363">
        <f t="shared" si="12"/>
        <v>100</v>
      </c>
      <c r="F170" s="363"/>
      <c r="G170" s="363">
        <f t="shared" si="13"/>
        <v>0</v>
      </c>
      <c r="H170" s="481" t="s">
        <v>965</v>
      </c>
      <c r="I170" s="358"/>
    </row>
    <row r="171" spans="1:9" s="359" customFormat="1" ht="128.25" customHeight="1" x14ac:dyDescent="0.25">
      <c r="A171" s="353"/>
      <c r="B171" s="568" t="s">
        <v>546</v>
      </c>
      <c r="C171" s="362">
        <v>30.5</v>
      </c>
      <c r="D171" s="362">
        <v>30.5</v>
      </c>
      <c r="E171" s="363">
        <f t="shared" si="12"/>
        <v>100</v>
      </c>
      <c r="F171" s="363"/>
      <c r="G171" s="363">
        <f t="shared" si="13"/>
        <v>0</v>
      </c>
      <c r="H171" s="357" t="s">
        <v>1117</v>
      </c>
      <c r="I171" s="358"/>
    </row>
    <row r="172" spans="1:9" s="359" customFormat="1" ht="33.75" customHeight="1" x14ac:dyDescent="0.25">
      <c r="A172" s="353"/>
      <c r="B172" s="496" t="s">
        <v>547</v>
      </c>
      <c r="C172" s="362">
        <v>50</v>
      </c>
      <c r="D172" s="362">
        <v>50</v>
      </c>
      <c r="E172" s="363">
        <f>SUM(D172/C172*100)</f>
        <v>100</v>
      </c>
      <c r="F172" s="363"/>
      <c r="G172" s="363">
        <f t="shared" si="13"/>
        <v>0</v>
      </c>
      <c r="H172" s="357"/>
      <c r="I172" s="358"/>
    </row>
    <row r="173" spans="1:9" s="359" customFormat="1" ht="78.75" x14ac:dyDescent="0.25">
      <c r="A173" s="353"/>
      <c r="B173" s="493" t="s">
        <v>548</v>
      </c>
      <c r="C173" s="362">
        <v>210</v>
      </c>
      <c r="D173" s="362">
        <v>210</v>
      </c>
      <c r="E173" s="363">
        <f>SUM(D173/C173*100)</f>
        <v>100</v>
      </c>
      <c r="F173" s="363"/>
      <c r="G173" s="363">
        <f t="shared" si="13"/>
        <v>0</v>
      </c>
      <c r="H173" s="357" t="s">
        <v>966</v>
      </c>
      <c r="I173" s="358"/>
    </row>
    <row r="174" spans="1:9" s="359" customFormat="1" ht="31.5" x14ac:dyDescent="0.25">
      <c r="A174" s="353"/>
      <c r="B174" s="493" t="s">
        <v>549</v>
      </c>
      <c r="C174" s="362">
        <v>52.505000000000003</v>
      </c>
      <c r="D174" s="362">
        <v>52.505000000000003</v>
      </c>
      <c r="E174" s="363">
        <f>SUM(D174/C174*100)</f>
        <v>100</v>
      </c>
      <c r="F174" s="363"/>
      <c r="G174" s="363">
        <f t="shared" si="13"/>
        <v>0</v>
      </c>
      <c r="H174" s="357" t="s">
        <v>967</v>
      </c>
      <c r="I174" s="358"/>
    </row>
    <row r="175" spans="1:9" s="359" customFormat="1" ht="94.5" x14ac:dyDescent="0.25">
      <c r="A175" s="353"/>
      <c r="B175" s="497" t="s">
        <v>550</v>
      </c>
      <c r="C175" s="362">
        <v>18.600000000000001</v>
      </c>
      <c r="D175" s="362">
        <v>18.600000000000001</v>
      </c>
      <c r="E175" s="363">
        <f>SUM(D175/C175*100)</f>
        <v>100</v>
      </c>
      <c r="F175" s="363"/>
      <c r="G175" s="363">
        <f t="shared" si="13"/>
        <v>0</v>
      </c>
      <c r="H175" s="357" t="s">
        <v>968</v>
      </c>
      <c r="I175" s="358"/>
    </row>
    <row r="176" spans="1:9" s="359" customFormat="1" x14ac:dyDescent="0.25">
      <c r="A176" s="353"/>
      <c r="B176" s="497" t="s">
        <v>551</v>
      </c>
      <c r="C176" s="362">
        <v>17</v>
      </c>
      <c r="D176" s="362">
        <v>17</v>
      </c>
      <c r="E176" s="363">
        <f>SUM(D176/C176*100)</f>
        <v>100</v>
      </c>
      <c r="F176" s="363"/>
      <c r="G176" s="363">
        <f t="shared" si="13"/>
        <v>0</v>
      </c>
      <c r="H176" s="357"/>
      <c r="I176" s="358"/>
    </row>
    <row r="177" spans="1:9" s="359" customFormat="1" x14ac:dyDescent="0.25">
      <c r="A177" s="353"/>
      <c r="B177" s="493" t="s">
        <v>552</v>
      </c>
      <c r="C177" s="362">
        <v>23</v>
      </c>
      <c r="D177" s="362">
        <v>23</v>
      </c>
      <c r="E177" s="363">
        <f t="shared" si="12"/>
        <v>100</v>
      </c>
      <c r="F177" s="363"/>
      <c r="G177" s="363">
        <f t="shared" si="13"/>
        <v>0</v>
      </c>
      <c r="H177" s="357" t="s">
        <v>969</v>
      </c>
      <c r="I177" s="358"/>
    </row>
    <row r="178" spans="1:9" s="624" customFormat="1" ht="31.5" x14ac:dyDescent="0.25">
      <c r="A178" s="652">
        <v>11</v>
      </c>
      <c r="B178" s="627" t="s">
        <v>553</v>
      </c>
      <c r="C178" s="663">
        <f>SUM(C179+C183)</f>
        <v>3287.3</v>
      </c>
      <c r="D178" s="663">
        <f>SUM(D179+D183)</f>
        <v>3286.9</v>
      </c>
      <c r="E178" s="654">
        <f t="shared" si="12"/>
        <v>99.987831959358743</v>
      </c>
      <c r="F178" s="655">
        <f>D178/(C178/4*3)*100</f>
        <v>133.31710927914497</v>
      </c>
      <c r="G178" s="654">
        <f t="shared" si="11"/>
        <v>0.40000000000009095</v>
      </c>
      <c r="H178" s="660"/>
      <c r="I178" s="631" t="s">
        <v>1202</v>
      </c>
    </row>
    <row r="179" spans="1:9" s="359" customFormat="1" x14ac:dyDescent="0.25">
      <c r="A179" s="353"/>
      <c r="B179" s="462" t="s">
        <v>554</v>
      </c>
      <c r="C179" s="487">
        <f>SUM(C180:C182)</f>
        <v>2287.3000000000002</v>
      </c>
      <c r="D179" s="487">
        <f>SUM(D180:D182)</f>
        <v>2286.9</v>
      </c>
      <c r="E179" s="363">
        <f t="shared" si="12"/>
        <v>99.982512132208285</v>
      </c>
      <c r="F179" s="363"/>
      <c r="G179" s="363">
        <f t="shared" si="11"/>
        <v>0.40000000000009095</v>
      </c>
      <c r="H179" s="488"/>
      <c r="I179" s="358"/>
    </row>
    <row r="180" spans="1:9" s="359" customFormat="1" x14ac:dyDescent="0.25">
      <c r="A180" s="353"/>
      <c r="B180" s="472" t="s">
        <v>539</v>
      </c>
      <c r="C180" s="368">
        <v>1787.3</v>
      </c>
      <c r="D180" s="368">
        <v>1786.9</v>
      </c>
      <c r="E180" s="363">
        <f t="shared" si="12"/>
        <v>99.9776198735523</v>
      </c>
      <c r="F180" s="363"/>
      <c r="G180" s="363">
        <f t="shared" si="11"/>
        <v>0.39999999999986358</v>
      </c>
      <c r="H180" s="488"/>
      <c r="I180" s="358"/>
    </row>
    <row r="181" spans="1:9" s="359" customFormat="1" ht="31.5" x14ac:dyDescent="0.25">
      <c r="A181" s="353"/>
      <c r="B181" s="472" t="s">
        <v>555</v>
      </c>
      <c r="C181" s="368">
        <v>500</v>
      </c>
      <c r="D181" s="368">
        <v>500</v>
      </c>
      <c r="E181" s="363">
        <f t="shared" si="12"/>
        <v>100</v>
      </c>
      <c r="F181" s="363"/>
      <c r="G181" s="363">
        <f t="shared" si="11"/>
        <v>0</v>
      </c>
      <c r="H181" s="372" t="s">
        <v>1005</v>
      </c>
      <c r="I181" s="358"/>
    </row>
    <row r="182" spans="1:9" s="359" customFormat="1" ht="31.5" x14ac:dyDescent="0.25">
      <c r="A182" s="353"/>
      <c r="B182" s="482" t="s">
        <v>823</v>
      </c>
      <c r="C182" s="368">
        <v>0</v>
      </c>
      <c r="D182" s="368">
        <v>0</v>
      </c>
      <c r="E182" s="363">
        <v>0</v>
      </c>
      <c r="F182" s="363"/>
      <c r="G182" s="363">
        <f t="shared" si="11"/>
        <v>0</v>
      </c>
      <c r="H182" s="489" t="s">
        <v>824</v>
      </c>
      <c r="I182" s="358"/>
    </row>
    <row r="183" spans="1:9" s="359" customFormat="1" ht="63" x14ac:dyDescent="0.25">
      <c r="A183" s="353"/>
      <c r="B183" s="677" t="s">
        <v>312</v>
      </c>
      <c r="C183" s="368">
        <v>1000</v>
      </c>
      <c r="D183" s="368">
        <v>1000</v>
      </c>
      <c r="E183" s="363">
        <f>D183*100/C183</f>
        <v>100</v>
      </c>
      <c r="F183" s="363"/>
      <c r="G183" s="363">
        <f t="shared" si="11"/>
        <v>0</v>
      </c>
      <c r="H183" s="489" t="s">
        <v>1006</v>
      </c>
      <c r="I183" s="358"/>
    </row>
    <row r="184" spans="1:9" s="624" customFormat="1" ht="31.5" x14ac:dyDescent="0.25">
      <c r="A184" s="652">
        <v>12</v>
      </c>
      <c r="B184" s="623" t="s">
        <v>736</v>
      </c>
      <c r="C184" s="654">
        <f>SUM(C185+C195+C218+C226)</f>
        <v>62318.511490000004</v>
      </c>
      <c r="D184" s="654">
        <f>SUM(D185+D195+D218+D226)</f>
        <v>60308.218999999997</v>
      </c>
      <c r="E184" s="654">
        <f>D184*100/C184</f>
        <v>96.77416478356902</v>
      </c>
      <c r="F184" s="655">
        <f>D184/(C184/4*3)*100</f>
        <v>129.03221971142534</v>
      </c>
      <c r="G184" s="654">
        <f>C184-D184</f>
        <v>2010.2924900000071</v>
      </c>
      <c r="H184" s="660"/>
      <c r="I184" s="631" t="s">
        <v>825</v>
      </c>
    </row>
    <row r="185" spans="1:9" s="359" customFormat="1" x14ac:dyDescent="0.25">
      <c r="A185" s="353"/>
      <c r="B185" s="462" t="s">
        <v>539</v>
      </c>
      <c r="C185" s="363">
        <f>SUM(C186+C187+C191)</f>
        <v>9864.9639999999999</v>
      </c>
      <c r="D185" s="363">
        <f>SUM(D186+D187+D191)</f>
        <v>9754.6689999999999</v>
      </c>
      <c r="E185" s="363">
        <f t="shared" ref="E185:E191" si="14">D185*100/C185</f>
        <v>98.881952331503697</v>
      </c>
      <c r="F185" s="363"/>
      <c r="G185" s="363">
        <f t="shared" ref="G185:G190" si="15">C185-D185</f>
        <v>110.29500000000007</v>
      </c>
      <c r="H185" s="463"/>
      <c r="I185" s="464"/>
    </row>
    <row r="186" spans="1:9" s="359" customFormat="1" x14ac:dyDescent="0.25">
      <c r="A186" s="353"/>
      <c r="B186" s="462" t="s">
        <v>737</v>
      </c>
      <c r="C186" s="465">
        <v>9054.9639999999999</v>
      </c>
      <c r="D186" s="465">
        <v>8944.6689999999999</v>
      </c>
      <c r="E186" s="363">
        <f t="shared" si="14"/>
        <v>98.781938834875547</v>
      </c>
      <c r="F186" s="363"/>
      <c r="G186" s="363">
        <f t="shared" si="15"/>
        <v>110.29500000000007</v>
      </c>
      <c r="H186" s="463"/>
      <c r="I186" s="464"/>
    </row>
    <row r="187" spans="1:9" s="359" customFormat="1" x14ac:dyDescent="0.25">
      <c r="A187" s="353"/>
      <c r="B187" s="462" t="s">
        <v>738</v>
      </c>
      <c r="C187" s="466">
        <f>SUM(C188:C190)</f>
        <v>140</v>
      </c>
      <c r="D187" s="466">
        <f>SUM(D188:D190)</f>
        <v>140</v>
      </c>
      <c r="E187" s="363">
        <f t="shared" si="14"/>
        <v>100</v>
      </c>
      <c r="F187" s="363"/>
      <c r="G187" s="363">
        <f t="shared" si="15"/>
        <v>0</v>
      </c>
      <c r="H187" s="463"/>
      <c r="I187" s="464"/>
    </row>
    <row r="188" spans="1:9" s="359" customFormat="1" ht="47.25" x14ac:dyDescent="0.25">
      <c r="A188" s="353"/>
      <c r="B188" s="467" t="s">
        <v>739</v>
      </c>
      <c r="C188" s="363">
        <v>60</v>
      </c>
      <c r="D188" s="363">
        <v>60</v>
      </c>
      <c r="E188" s="363">
        <f t="shared" si="14"/>
        <v>100</v>
      </c>
      <c r="F188" s="363"/>
      <c r="G188" s="363">
        <f t="shared" si="15"/>
        <v>0</v>
      </c>
      <c r="H188" s="400" t="s">
        <v>1398</v>
      </c>
      <c r="I188" s="464"/>
    </row>
    <row r="189" spans="1:9" s="359" customFormat="1" ht="47.25" x14ac:dyDescent="0.25">
      <c r="A189" s="353"/>
      <c r="B189" s="467" t="s">
        <v>740</v>
      </c>
      <c r="C189" s="363">
        <v>30</v>
      </c>
      <c r="D189" s="363">
        <v>30</v>
      </c>
      <c r="E189" s="363">
        <f t="shared" si="14"/>
        <v>100</v>
      </c>
      <c r="F189" s="363"/>
      <c r="G189" s="363">
        <f t="shared" si="15"/>
        <v>0</v>
      </c>
      <c r="H189" s="400" t="s">
        <v>970</v>
      </c>
      <c r="I189" s="464"/>
    </row>
    <row r="190" spans="1:9" s="359" customFormat="1" ht="63" x14ac:dyDescent="0.25">
      <c r="A190" s="353"/>
      <c r="B190" s="467" t="s">
        <v>742</v>
      </c>
      <c r="C190" s="363">
        <v>50</v>
      </c>
      <c r="D190" s="363">
        <v>50</v>
      </c>
      <c r="E190" s="363">
        <f t="shared" si="14"/>
        <v>100</v>
      </c>
      <c r="F190" s="363"/>
      <c r="G190" s="363">
        <f t="shared" si="15"/>
        <v>0</v>
      </c>
      <c r="H190" s="400" t="s">
        <v>971</v>
      </c>
      <c r="I190" s="464"/>
    </row>
    <row r="191" spans="1:9" s="359" customFormat="1" x14ac:dyDescent="0.25">
      <c r="A191" s="353"/>
      <c r="B191" s="468" t="s">
        <v>743</v>
      </c>
      <c r="C191" s="356">
        <f>SUM(C192:C194)</f>
        <v>670</v>
      </c>
      <c r="D191" s="356">
        <f>SUM(D192:D194)</f>
        <v>670</v>
      </c>
      <c r="E191" s="356">
        <f t="shared" si="14"/>
        <v>100</v>
      </c>
      <c r="F191" s="356"/>
      <c r="G191" s="356">
        <f t="shared" ref="G191:G202" si="16">C191-D191</f>
        <v>0</v>
      </c>
      <c r="H191" s="469"/>
      <c r="I191" s="464"/>
    </row>
    <row r="192" spans="1:9" s="359" customFormat="1" ht="31.5" x14ac:dyDescent="0.25">
      <c r="A192" s="353"/>
      <c r="B192" s="470" t="s">
        <v>826</v>
      </c>
      <c r="C192" s="471">
        <v>35</v>
      </c>
      <c r="D192" s="363">
        <v>35</v>
      </c>
      <c r="E192" s="363">
        <f>D192*100/C192</f>
        <v>100</v>
      </c>
      <c r="F192" s="363"/>
      <c r="G192" s="363">
        <f t="shared" si="16"/>
        <v>0</v>
      </c>
      <c r="H192" s="401"/>
      <c r="I192" s="464"/>
    </row>
    <row r="193" spans="1:9" s="359" customFormat="1" x14ac:dyDescent="0.25">
      <c r="A193" s="353"/>
      <c r="B193" s="470" t="s">
        <v>827</v>
      </c>
      <c r="C193" s="471">
        <v>35</v>
      </c>
      <c r="D193" s="363">
        <v>35</v>
      </c>
      <c r="E193" s="363">
        <f t="shared" ref="E193:E202" si="17">D193*100/C193</f>
        <v>100</v>
      </c>
      <c r="F193" s="363"/>
      <c r="G193" s="363">
        <f t="shared" si="16"/>
        <v>0</v>
      </c>
      <c r="H193" s="401"/>
      <c r="I193" s="464"/>
    </row>
    <row r="194" spans="1:9" s="359" customFormat="1" x14ac:dyDescent="0.25">
      <c r="A194" s="353"/>
      <c r="B194" s="470" t="s">
        <v>828</v>
      </c>
      <c r="C194" s="471">
        <v>600</v>
      </c>
      <c r="D194" s="363">
        <v>600</v>
      </c>
      <c r="E194" s="363">
        <f t="shared" si="17"/>
        <v>100</v>
      </c>
      <c r="F194" s="363"/>
      <c r="G194" s="363">
        <f t="shared" si="16"/>
        <v>0</v>
      </c>
      <c r="H194" s="400"/>
      <c r="I194" s="464"/>
    </row>
    <row r="195" spans="1:9" s="359" customFormat="1" ht="31.5" x14ac:dyDescent="0.25">
      <c r="A195" s="353"/>
      <c r="B195" s="462" t="s">
        <v>744</v>
      </c>
      <c r="C195" s="363">
        <f>SUM(C196+C198+C204)</f>
        <v>17202.618000000002</v>
      </c>
      <c r="D195" s="363">
        <f>SUM(D196+D198+D204)</f>
        <v>15302.616</v>
      </c>
      <c r="E195" s="363">
        <f t="shared" si="17"/>
        <v>88.955157871900653</v>
      </c>
      <c r="F195" s="363"/>
      <c r="G195" s="363">
        <f t="shared" si="16"/>
        <v>1900.0020000000022</v>
      </c>
      <c r="H195" s="463"/>
      <c r="I195" s="464"/>
    </row>
    <row r="196" spans="1:9" s="359" customFormat="1" ht="31.5" x14ac:dyDescent="0.25">
      <c r="A196" s="353"/>
      <c r="B196" s="472" t="s">
        <v>829</v>
      </c>
      <c r="C196" s="363">
        <f>SUM(C197)</f>
        <v>13708.886</v>
      </c>
      <c r="D196" s="363">
        <f>SUM(D197)</f>
        <v>13708.886</v>
      </c>
      <c r="E196" s="363">
        <f t="shared" si="17"/>
        <v>100</v>
      </c>
      <c r="F196" s="363"/>
      <c r="G196" s="363">
        <f t="shared" si="16"/>
        <v>0</v>
      </c>
      <c r="H196" s="463"/>
      <c r="I196" s="464"/>
    </row>
    <row r="197" spans="1:9" s="359" customFormat="1" ht="31.5" x14ac:dyDescent="0.25">
      <c r="A197" s="353"/>
      <c r="B197" s="467" t="s">
        <v>746</v>
      </c>
      <c r="C197" s="473">
        <v>13708.886</v>
      </c>
      <c r="D197" s="473">
        <v>13708.886</v>
      </c>
      <c r="E197" s="363">
        <f t="shared" si="17"/>
        <v>100</v>
      </c>
      <c r="F197" s="363"/>
      <c r="G197" s="363">
        <f t="shared" si="16"/>
        <v>0</v>
      </c>
      <c r="H197" s="463"/>
      <c r="I197" s="464"/>
    </row>
    <row r="198" spans="1:9" s="359" customFormat="1" ht="31.5" x14ac:dyDescent="0.25">
      <c r="A198" s="353"/>
      <c r="B198" s="474" t="s">
        <v>830</v>
      </c>
      <c r="C198" s="363">
        <f>SUM(C199+C201)</f>
        <v>2959.732</v>
      </c>
      <c r="D198" s="363">
        <f>SUM(D199+D201)</f>
        <v>1059.73</v>
      </c>
      <c r="E198" s="363">
        <f t="shared" si="17"/>
        <v>35.804930986994769</v>
      </c>
      <c r="F198" s="363"/>
      <c r="G198" s="363">
        <f t="shared" si="16"/>
        <v>1900.002</v>
      </c>
      <c r="H198" s="463"/>
      <c r="I198" s="464"/>
    </row>
    <row r="199" spans="1:9" s="359" customFormat="1" x14ac:dyDescent="0.25">
      <c r="A199" s="353"/>
      <c r="B199" s="467" t="s">
        <v>749</v>
      </c>
      <c r="C199" s="471">
        <f>C200</f>
        <v>1900</v>
      </c>
      <c r="D199" s="471">
        <f>D200</f>
        <v>0</v>
      </c>
      <c r="E199" s="471">
        <f t="shared" si="17"/>
        <v>0</v>
      </c>
      <c r="F199" s="475"/>
      <c r="G199" s="475">
        <f t="shared" si="16"/>
        <v>1900</v>
      </c>
      <c r="H199" s="476" t="s">
        <v>1099</v>
      </c>
      <c r="I199" s="464"/>
    </row>
    <row r="200" spans="1:9" s="359" customFormat="1" ht="31.5" x14ac:dyDescent="0.25">
      <c r="A200" s="353"/>
      <c r="B200" s="470" t="s">
        <v>831</v>
      </c>
      <c r="C200" s="471">
        <v>1900</v>
      </c>
      <c r="D200" s="471">
        <v>0</v>
      </c>
      <c r="E200" s="471">
        <f t="shared" si="17"/>
        <v>0</v>
      </c>
      <c r="F200" s="475"/>
      <c r="G200" s="475">
        <f t="shared" si="16"/>
        <v>1900</v>
      </c>
      <c r="H200" s="476" t="s">
        <v>1261</v>
      </c>
      <c r="I200" s="464"/>
    </row>
    <row r="201" spans="1:9" s="359" customFormat="1" x14ac:dyDescent="0.25">
      <c r="A201" s="353"/>
      <c r="B201" s="467" t="s">
        <v>750</v>
      </c>
      <c r="C201" s="471">
        <f>C202</f>
        <v>1059.732</v>
      </c>
      <c r="D201" s="471">
        <f>D202</f>
        <v>1059.73</v>
      </c>
      <c r="E201" s="471">
        <f t="shared" si="17"/>
        <v>99.999811273038844</v>
      </c>
      <c r="F201" s="475"/>
      <c r="G201" s="475">
        <f t="shared" si="16"/>
        <v>1.9999999999527063E-3</v>
      </c>
      <c r="H201" s="477"/>
      <c r="I201" s="464"/>
    </row>
    <row r="202" spans="1:9" s="359" customFormat="1" x14ac:dyDescent="0.25">
      <c r="A202" s="353"/>
      <c r="B202" s="470" t="s">
        <v>832</v>
      </c>
      <c r="C202" s="471">
        <v>1059.732</v>
      </c>
      <c r="D202" s="471">
        <v>1059.73</v>
      </c>
      <c r="E202" s="471">
        <f t="shared" si="17"/>
        <v>99.999811273038844</v>
      </c>
      <c r="F202" s="475"/>
      <c r="G202" s="475">
        <f t="shared" si="16"/>
        <v>1.9999999999527063E-3</v>
      </c>
      <c r="H202" s="477" t="s">
        <v>972</v>
      </c>
      <c r="I202" s="464"/>
    </row>
    <row r="203" spans="1:9" s="359" customFormat="1" x14ac:dyDescent="0.25">
      <c r="A203" s="353"/>
      <c r="B203" s="478" t="s">
        <v>833</v>
      </c>
      <c r="C203" s="363"/>
      <c r="D203" s="363"/>
      <c r="E203" s="363"/>
      <c r="F203" s="363"/>
      <c r="G203" s="363"/>
      <c r="H203" s="463"/>
      <c r="I203" s="464"/>
    </row>
    <row r="204" spans="1:9" s="359" customFormat="1" x14ac:dyDescent="0.25">
      <c r="A204" s="353"/>
      <c r="B204" s="467" t="s">
        <v>751</v>
      </c>
      <c r="C204" s="363">
        <f>SUM(C205:C217)</f>
        <v>534</v>
      </c>
      <c r="D204" s="363">
        <f>SUM(D205:D217)</f>
        <v>534</v>
      </c>
      <c r="E204" s="363">
        <f t="shared" ref="E204:E228" si="18">D204*100/C204</f>
        <v>100</v>
      </c>
      <c r="F204" s="479"/>
      <c r="G204" s="475">
        <f>C204-D204</f>
        <v>0</v>
      </c>
      <c r="H204" s="463"/>
      <c r="I204" s="464"/>
    </row>
    <row r="205" spans="1:9" s="359" customFormat="1" ht="31.5" x14ac:dyDescent="0.25">
      <c r="A205" s="353"/>
      <c r="B205" s="470" t="s">
        <v>834</v>
      </c>
      <c r="C205" s="471">
        <v>0</v>
      </c>
      <c r="D205" s="363">
        <v>0</v>
      </c>
      <c r="E205" s="363">
        <v>0</v>
      </c>
      <c r="F205" s="363"/>
      <c r="G205" s="363">
        <f>C205-D205</f>
        <v>0</v>
      </c>
      <c r="H205" s="400" t="s">
        <v>835</v>
      </c>
      <c r="I205" s="464"/>
    </row>
    <row r="206" spans="1:9" s="359" customFormat="1" ht="63" x14ac:dyDescent="0.25">
      <c r="A206" s="353"/>
      <c r="B206" s="470" t="s">
        <v>836</v>
      </c>
      <c r="C206" s="471">
        <v>30</v>
      </c>
      <c r="D206" s="471">
        <v>30</v>
      </c>
      <c r="E206" s="363">
        <f t="shared" si="18"/>
        <v>100</v>
      </c>
      <c r="F206" s="363"/>
      <c r="G206" s="363">
        <f t="shared" ref="G206:G228" si="19">C206-D206</f>
        <v>0</v>
      </c>
      <c r="H206" s="400" t="s">
        <v>973</v>
      </c>
      <c r="I206" s="464"/>
    </row>
    <row r="207" spans="1:9" s="359" customFormat="1" ht="47.25" x14ac:dyDescent="0.25">
      <c r="A207" s="353"/>
      <c r="B207" s="470" t="s">
        <v>837</v>
      </c>
      <c r="C207" s="471">
        <v>0</v>
      </c>
      <c r="D207" s="363">
        <v>0</v>
      </c>
      <c r="E207" s="363">
        <v>0</v>
      </c>
      <c r="F207" s="363"/>
      <c r="G207" s="363">
        <f t="shared" si="19"/>
        <v>0</v>
      </c>
      <c r="H207" s="357" t="s">
        <v>838</v>
      </c>
      <c r="I207" s="464"/>
    </row>
    <row r="208" spans="1:9" s="359" customFormat="1" ht="31.5" x14ac:dyDescent="0.25">
      <c r="A208" s="353"/>
      <c r="B208" s="470" t="s">
        <v>839</v>
      </c>
      <c r="C208" s="471">
        <v>250</v>
      </c>
      <c r="D208" s="363">
        <v>250</v>
      </c>
      <c r="E208" s="363">
        <f t="shared" si="18"/>
        <v>100</v>
      </c>
      <c r="F208" s="363"/>
      <c r="G208" s="363">
        <f t="shared" si="19"/>
        <v>0</v>
      </c>
      <c r="H208" s="357"/>
      <c r="I208" s="464"/>
    </row>
    <row r="209" spans="1:9" s="359" customFormat="1" ht="47.25" x14ac:dyDescent="0.25">
      <c r="A209" s="353"/>
      <c r="B209" s="470" t="s">
        <v>840</v>
      </c>
      <c r="C209" s="471">
        <v>100</v>
      </c>
      <c r="D209" s="363">
        <v>100</v>
      </c>
      <c r="E209" s="363">
        <f t="shared" si="18"/>
        <v>100</v>
      </c>
      <c r="F209" s="363"/>
      <c r="G209" s="363">
        <f t="shared" si="19"/>
        <v>0</v>
      </c>
      <c r="H209" s="401"/>
      <c r="I209" s="464"/>
    </row>
    <row r="210" spans="1:9" s="359" customFormat="1" ht="78.75" x14ac:dyDescent="0.25">
      <c r="A210" s="353"/>
      <c r="B210" s="470" t="s">
        <v>841</v>
      </c>
      <c r="C210" s="471">
        <v>0</v>
      </c>
      <c r="D210" s="363">
        <v>0</v>
      </c>
      <c r="E210" s="363">
        <v>0</v>
      </c>
      <c r="F210" s="363"/>
      <c r="G210" s="363">
        <f t="shared" si="19"/>
        <v>0</v>
      </c>
      <c r="H210" s="357" t="s">
        <v>842</v>
      </c>
      <c r="I210" s="464"/>
    </row>
    <row r="211" spans="1:9" s="359" customFormat="1" ht="78.75" x14ac:dyDescent="0.25">
      <c r="A211" s="353"/>
      <c r="B211" s="470" t="s">
        <v>843</v>
      </c>
      <c r="C211" s="471">
        <v>0</v>
      </c>
      <c r="D211" s="363">
        <v>0</v>
      </c>
      <c r="E211" s="363">
        <v>0</v>
      </c>
      <c r="F211" s="363"/>
      <c r="G211" s="363">
        <f t="shared" si="19"/>
        <v>0</v>
      </c>
      <c r="H211" s="357" t="s">
        <v>842</v>
      </c>
      <c r="I211" s="464"/>
    </row>
    <row r="212" spans="1:9" s="359" customFormat="1" ht="78.75" x14ac:dyDescent="0.25">
      <c r="A212" s="353"/>
      <c r="B212" s="470" t="s">
        <v>844</v>
      </c>
      <c r="C212" s="471">
        <v>0</v>
      </c>
      <c r="D212" s="363">
        <v>0</v>
      </c>
      <c r="E212" s="363">
        <v>0</v>
      </c>
      <c r="F212" s="363"/>
      <c r="G212" s="363">
        <f t="shared" si="19"/>
        <v>0</v>
      </c>
      <c r="H212" s="357" t="s">
        <v>842</v>
      </c>
      <c r="I212" s="464"/>
    </row>
    <row r="213" spans="1:9" s="359" customFormat="1" ht="31.5" x14ac:dyDescent="0.25">
      <c r="A213" s="353"/>
      <c r="B213" s="470" t="s">
        <v>845</v>
      </c>
      <c r="C213" s="471">
        <v>0</v>
      </c>
      <c r="D213" s="363">
        <v>0</v>
      </c>
      <c r="E213" s="363"/>
      <c r="F213" s="363"/>
      <c r="G213" s="363">
        <f t="shared" si="19"/>
        <v>0</v>
      </c>
      <c r="H213" s="400" t="s">
        <v>835</v>
      </c>
      <c r="I213" s="464"/>
    </row>
    <row r="214" spans="1:9" s="359" customFormat="1" ht="63" x14ac:dyDescent="0.25">
      <c r="A214" s="353"/>
      <c r="B214" s="470" t="s">
        <v>846</v>
      </c>
      <c r="C214" s="471">
        <v>20</v>
      </c>
      <c r="D214" s="363">
        <v>20</v>
      </c>
      <c r="E214" s="363">
        <f t="shared" si="18"/>
        <v>100</v>
      </c>
      <c r="F214" s="363"/>
      <c r="G214" s="363">
        <f t="shared" si="19"/>
        <v>0</v>
      </c>
      <c r="H214" s="400" t="s">
        <v>974</v>
      </c>
      <c r="I214" s="464"/>
    </row>
    <row r="215" spans="1:9" s="359" customFormat="1" ht="84" customHeight="1" x14ac:dyDescent="0.25">
      <c r="A215" s="353"/>
      <c r="B215" s="470" t="s">
        <v>847</v>
      </c>
      <c r="C215" s="471">
        <v>0</v>
      </c>
      <c r="D215" s="363">
        <v>0</v>
      </c>
      <c r="E215" s="363">
        <v>0</v>
      </c>
      <c r="F215" s="363"/>
      <c r="G215" s="363">
        <f t="shared" si="19"/>
        <v>0</v>
      </c>
      <c r="H215" s="480" t="s">
        <v>842</v>
      </c>
      <c r="I215" s="464"/>
    </row>
    <row r="216" spans="1:9" s="359" customFormat="1" ht="63" x14ac:dyDescent="0.25">
      <c r="A216" s="353"/>
      <c r="B216" s="470" t="s">
        <v>848</v>
      </c>
      <c r="C216" s="471">
        <v>100</v>
      </c>
      <c r="D216" s="471">
        <v>100</v>
      </c>
      <c r="E216" s="363">
        <f t="shared" si="18"/>
        <v>100</v>
      </c>
      <c r="F216" s="479"/>
      <c r="G216" s="479">
        <f t="shared" si="19"/>
        <v>0</v>
      </c>
      <c r="H216" s="481" t="s">
        <v>849</v>
      </c>
      <c r="I216" s="464"/>
    </row>
    <row r="217" spans="1:9" s="359" customFormat="1" ht="31.5" x14ac:dyDescent="0.25">
      <c r="A217" s="353"/>
      <c r="B217" s="470" t="s">
        <v>850</v>
      </c>
      <c r="C217" s="471">
        <v>34</v>
      </c>
      <c r="D217" s="363">
        <v>34</v>
      </c>
      <c r="E217" s="363">
        <f t="shared" si="18"/>
        <v>100</v>
      </c>
      <c r="F217" s="479"/>
      <c r="G217" s="479">
        <f t="shared" si="19"/>
        <v>0</v>
      </c>
      <c r="H217" s="400" t="s">
        <v>975</v>
      </c>
      <c r="I217" s="464"/>
    </row>
    <row r="218" spans="1:9" s="359" customFormat="1" x14ac:dyDescent="0.25">
      <c r="A218" s="353"/>
      <c r="B218" s="462" t="s">
        <v>754</v>
      </c>
      <c r="C218" s="363">
        <f>SUM(C219+C221)+C224</f>
        <v>35200.929490000002</v>
      </c>
      <c r="D218" s="363">
        <f>SUM(D219+D221)+D224</f>
        <v>35200.934000000001</v>
      </c>
      <c r="E218" s="363">
        <f t="shared" si="18"/>
        <v>100.00001281216167</v>
      </c>
      <c r="F218" s="479"/>
      <c r="G218" s="479">
        <f t="shared" si="19"/>
        <v>-4.50999999884516E-3</v>
      </c>
      <c r="H218" s="463"/>
      <c r="I218" s="464"/>
    </row>
    <row r="219" spans="1:9" s="359" customFormat="1" ht="31.5" x14ac:dyDescent="0.25">
      <c r="A219" s="353"/>
      <c r="B219" s="472" t="s">
        <v>755</v>
      </c>
      <c r="C219" s="363">
        <f>SUM(C220)</f>
        <v>33656.23749</v>
      </c>
      <c r="D219" s="363">
        <f>SUM(D220)</f>
        <v>33656.237000000001</v>
      </c>
      <c r="E219" s="363">
        <f t="shared" si="18"/>
        <v>99.999998544103462</v>
      </c>
      <c r="F219" s="479"/>
      <c r="G219" s="479">
        <f t="shared" si="19"/>
        <v>4.8999999853549525E-4</v>
      </c>
      <c r="H219" s="463"/>
      <c r="I219" s="464"/>
    </row>
    <row r="220" spans="1:9" s="359" customFormat="1" ht="31.5" x14ac:dyDescent="0.25">
      <c r="A220" s="353"/>
      <c r="B220" s="467" t="s">
        <v>755</v>
      </c>
      <c r="C220" s="471">
        <f>25920.37749+7735.86</f>
        <v>33656.23749</v>
      </c>
      <c r="D220" s="471">
        <v>33656.237000000001</v>
      </c>
      <c r="E220" s="363">
        <f t="shared" si="18"/>
        <v>99.999998544103462</v>
      </c>
      <c r="F220" s="479"/>
      <c r="G220" s="479">
        <f t="shared" si="19"/>
        <v>4.8999999853549525E-4</v>
      </c>
      <c r="H220" s="463"/>
      <c r="I220" s="464"/>
    </row>
    <row r="221" spans="1:9" s="359" customFormat="1" x14ac:dyDescent="0.25">
      <c r="A221" s="353"/>
      <c r="B221" s="482" t="s">
        <v>851</v>
      </c>
      <c r="C221" s="363">
        <f>SUM(C222:C223)</f>
        <v>1524.692</v>
      </c>
      <c r="D221" s="363">
        <f>SUM(D222:D223)</f>
        <v>1524.6969999999999</v>
      </c>
      <c r="E221" s="363">
        <f t="shared" si="18"/>
        <v>100.00032793508458</v>
      </c>
      <c r="F221" s="479"/>
      <c r="G221" s="479">
        <f t="shared" si="19"/>
        <v>-4.9999999998817657E-3</v>
      </c>
      <c r="H221" s="463"/>
      <c r="I221" s="464"/>
    </row>
    <row r="222" spans="1:9" s="359" customFormat="1" ht="104.25" customHeight="1" x14ac:dyDescent="0.25">
      <c r="A222" s="353"/>
      <c r="B222" s="482" t="s">
        <v>757</v>
      </c>
      <c r="C222" s="363">
        <v>1375.8050000000001</v>
      </c>
      <c r="D222" s="363">
        <v>1375.81</v>
      </c>
      <c r="E222" s="363">
        <f t="shared" si="18"/>
        <v>100.00036342359563</v>
      </c>
      <c r="F222" s="479"/>
      <c r="G222" s="479">
        <f t="shared" si="19"/>
        <v>-4.9999999998817657E-3</v>
      </c>
      <c r="H222" s="470" t="s">
        <v>852</v>
      </c>
      <c r="I222" s="464"/>
    </row>
    <row r="223" spans="1:9" s="359" customFormat="1" ht="31.5" x14ac:dyDescent="0.25">
      <c r="A223" s="353"/>
      <c r="B223" s="470" t="s">
        <v>758</v>
      </c>
      <c r="C223" s="483">
        <v>148.887</v>
      </c>
      <c r="D223" s="363">
        <v>148.887</v>
      </c>
      <c r="E223" s="363">
        <f t="shared" si="18"/>
        <v>100</v>
      </c>
      <c r="F223" s="479"/>
      <c r="G223" s="479">
        <f t="shared" si="19"/>
        <v>0</v>
      </c>
      <c r="H223" s="401"/>
      <c r="I223" s="464"/>
    </row>
    <row r="224" spans="1:9" s="359" customFormat="1" x14ac:dyDescent="0.25">
      <c r="A224" s="353"/>
      <c r="B224" s="484" t="s">
        <v>853</v>
      </c>
      <c r="C224" s="485">
        <f>SUM(C225)</f>
        <v>20</v>
      </c>
      <c r="D224" s="485">
        <f>SUM(D225)</f>
        <v>20</v>
      </c>
      <c r="E224" s="485">
        <f t="shared" si="18"/>
        <v>100</v>
      </c>
      <c r="F224" s="485"/>
      <c r="G224" s="485">
        <f>SUM(G225)</f>
        <v>0</v>
      </c>
      <c r="H224" s="463"/>
      <c r="I224" s="464"/>
    </row>
    <row r="225" spans="1:10" s="359" customFormat="1" ht="123.75" customHeight="1" x14ac:dyDescent="0.25">
      <c r="A225" s="353"/>
      <c r="B225" s="470" t="s">
        <v>854</v>
      </c>
      <c r="C225" s="486">
        <v>20</v>
      </c>
      <c r="D225" s="363">
        <v>20</v>
      </c>
      <c r="E225" s="363">
        <f t="shared" si="18"/>
        <v>100</v>
      </c>
      <c r="F225" s="363"/>
      <c r="G225" s="363">
        <f>C225-D225</f>
        <v>0</v>
      </c>
      <c r="H225" s="400" t="s">
        <v>976</v>
      </c>
      <c r="I225" s="464"/>
    </row>
    <row r="226" spans="1:10" s="359" customFormat="1" ht="31.5" x14ac:dyDescent="0.25">
      <c r="A226" s="353"/>
      <c r="B226" s="462" t="s">
        <v>855</v>
      </c>
      <c r="C226" s="363">
        <f>SUM(C227)</f>
        <v>50</v>
      </c>
      <c r="D226" s="363">
        <f>SUM(D227)</f>
        <v>50</v>
      </c>
      <c r="E226" s="363">
        <f t="shared" si="18"/>
        <v>100</v>
      </c>
      <c r="F226" s="479"/>
      <c r="G226" s="479">
        <f t="shared" si="19"/>
        <v>0</v>
      </c>
      <c r="H226" s="463"/>
      <c r="I226" s="464"/>
    </row>
    <row r="227" spans="1:10" s="359" customFormat="1" ht="33" customHeight="1" x14ac:dyDescent="0.25">
      <c r="A227" s="353"/>
      <c r="B227" s="478" t="s">
        <v>760</v>
      </c>
      <c r="C227" s="363">
        <f>C228</f>
        <v>50</v>
      </c>
      <c r="D227" s="363">
        <f>D228</f>
        <v>50</v>
      </c>
      <c r="E227" s="363">
        <f t="shared" si="18"/>
        <v>100</v>
      </c>
      <c r="F227" s="479"/>
      <c r="G227" s="479">
        <f t="shared" si="19"/>
        <v>0</v>
      </c>
      <c r="H227" s="481"/>
      <c r="I227" s="464"/>
    </row>
    <row r="228" spans="1:10" s="359" customFormat="1" ht="50.25" customHeight="1" x14ac:dyDescent="0.25">
      <c r="A228" s="353"/>
      <c r="B228" s="470" t="s">
        <v>856</v>
      </c>
      <c r="C228" s="363">
        <v>50</v>
      </c>
      <c r="D228" s="363">
        <v>50</v>
      </c>
      <c r="E228" s="363">
        <f t="shared" si="18"/>
        <v>100</v>
      </c>
      <c r="F228" s="479"/>
      <c r="G228" s="479">
        <f t="shared" si="19"/>
        <v>0</v>
      </c>
      <c r="H228" s="481"/>
      <c r="I228" s="464"/>
    </row>
    <row r="229" spans="1:10" s="624" customFormat="1" ht="31.5" x14ac:dyDescent="0.25">
      <c r="A229" s="652">
        <v>13</v>
      </c>
      <c r="B229" s="630" t="s">
        <v>1374</v>
      </c>
      <c r="C229" s="669">
        <f>C230+C236+C239+C243+C246+C249+C253+C251</f>
        <v>19418.049500000001</v>
      </c>
      <c r="D229" s="669">
        <f>D230+D236+D239+D243+D246+D249+D253+D251</f>
        <v>12742.9385</v>
      </c>
      <c r="E229" s="654">
        <f>SUM(D229/C229*100)</f>
        <v>65.624194129281619</v>
      </c>
      <c r="F229" s="655">
        <f>D229/(C229/4*3)*100</f>
        <v>87.49892550570884</v>
      </c>
      <c r="G229" s="670">
        <f>C229-D229</f>
        <v>6675.1110000000008</v>
      </c>
      <c r="H229" s="671"/>
      <c r="I229" s="674" t="s">
        <v>857</v>
      </c>
      <c r="J229" s="668" t="s">
        <v>1074</v>
      </c>
    </row>
    <row r="230" spans="1:10" s="359" customFormat="1" x14ac:dyDescent="0.25">
      <c r="A230" s="353"/>
      <c r="B230" s="364" t="s">
        <v>624</v>
      </c>
      <c r="C230" s="494">
        <f>C231+C233+C235</f>
        <v>2390</v>
      </c>
      <c r="D230" s="494">
        <f>D231+D233+D235</f>
        <v>2390</v>
      </c>
      <c r="E230" s="363">
        <f t="shared" ref="E230:E253" si="20">SUM(D230/C230*100)</f>
        <v>100</v>
      </c>
      <c r="F230" s="479"/>
      <c r="G230" s="479">
        <f t="shared" ref="G230:G253" si="21">C230-D230</f>
        <v>0</v>
      </c>
      <c r="H230" s="401"/>
      <c r="I230" s="546"/>
    </row>
    <row r="231" spans="1:10" s="359" customFormat="1" x14ac:dyDescent="0.25">
      <c r="A231" s="353"/>
      <c r="B231" s="534" t="s">
        <v>1062</v>
      </c>
      <c r="C231" s="362">
        <f>C232</f>
        <v>778</v>
      </c>
      <c r="D231" s="362">
        <f>D232</f>
        <v>778</v>
      </c>
      <c r="E231" s="363">
        <f t="shared" si="20"/>
        <v>100</v>
      </c>
      <c r="F231" s="479"/>
      <c r="G231" s="479">
        <f t="shared" si="21"/>
        <v>0</v>
      </c>
      <c r="H231" s="401"/>
      <c r="I231" s="546"/>
    </row>
    <row r="232" spans="1:10" s="359" customFormat="1" x14ac:dyDescent="0.25">
      <c r="A232" s="353"/>
      <c r="B232" s="547" t="s">
        <v>1063</v>
      </c>
      <c r="C232" s="548">
        <v>778</v>
      </c>
      <c r="D232" s="367">
        <v>778</v>
      </c>
      <c r="E232" s="363">
        <f t="shared" si="20"/>
        <v>100</v>
      </c>
      <c r="F232" s="479"/>
      <c r="G232" s="479">
        <f t="shared" si="21"/>
        <v>0</v>
      </c>
      <c r="H232" s="401"/>
      <c r="I232" s="546"/>
    </row>
    <row r="233" spans="1:10" s="359" customFormat="1" x14ac:dyDescent="0.25">
      <c r="A233" s="353"/>
      <c r="B233" s="549" t="s">
        <v>951</v>
      </c>
      <c r="C233" s="362">
        <f>C234</f>
        <v>1500</v>
      </c>
      <c r="D233" s="362">
        <f>D234</f>
        <v>1500</v>
      </c>
      <c r="E233" s="363">
        <f t="shared" si="20"/>
        <v>100</v>
      </c>
      <c r="F233" s="479"/>
      <c r="G233" s="479">
        <f t="shared" si="21"/>
        <v>0</v>
      </c>
      <c r="H233" s="401"/>
      <c r="I233" s="546"/>
    </row>
    <row r="234" spans="1:10" s="359" customFormat="1" x14ac:dyDescent="0.25">
      <c r="A234" s="353"/>
      <c r="B234" s="369" t="s">
        <v>1064</v>
      </c>
      <c r="C234" s="548">
        <v>1500</v>
      </c>
      <c r="D234" s="367">
        <v>1500</v>
      </c>
      <c r="E234" s="363">
        <f t="shared" si="20"/>
        <v>100</v>
      </c>
      <c r="F234" s="479"/>
      <c r="G234" s="479">
        <f t="shared" si="21"/>
        <v>0</v>
      </c>
      <c r="H234" s="401"/>
      <c r="I234" s="546"/>
    </row>
    <row r="235" spans="1:10" s="359" customFormat="1" x14ac:dyDescent="0.25">
      <c r="A235" s="353"/>
      <c r="B235" s="550" t="s">
        <v>1164</v>
      </c>
      <c r="C235" s="362">
        <v>112</v>
      </c>
      <c r="D235" s="363">
        <v>112</v>
      </c>
      <c r="E235" s="363">
        <f>SUM(D235/C235*100)</f>
        <v>100</v>
      </c>
      <c r="F235" s="479"/>
      <c r="G235" s="479">
        <f>C235-D235</f>
        <v>0</v>
      </c>
      <c r="H235" s="401"/>
      <c r="I235" s="546"/>
    </row>
    <row r="236" spans="1:10" s="359" customFormat="1" x14ac:dyDescent="0.25">
      <c r="A236" s="353"/>
      <c r="B236" s="354" t="s">
        <v>256</v>
      </c>
      <c r="C236" s="494">
        <f>C237+C238</f>
        <v>5006.9885000000004</v>
      </c>
      <c r="D236" s="494">
        <f>D237+D238</f>
        <v>5006.9885000000004</v>
      </c>
      <c r="E236" s="363">
        <f t="shared" si="20"/>
        <v>100</v>
      </c>
      <c r="F236" s="479"/>
      <c r="G236" s="479">
        <f t="shared" si="21"/>
        <v>0</v>
      </c>
      <c r="H236" s="401"/>
      <c r="I236" s="546"/>
    </row>
    <row r="237" spans="1:10" s="359" customFormat="1" x14ac:dyDescent="0.25">
      <c r="A237" s="353"/>
      <c r="B237" s="549" t="s">
        <v>638</v>
      </c>
      <c r="C237" s="362">
        <v>6.9885000000000002</v>
      </c>
      <c r="D237" s="362">
        <v>6.9885000000000002</v>
      </c>
      <c r="E237" s="363">
        <f t="shared" si="20"/>
        <v>100</v>
      </c>
      <c r="F237" s="363"/>
      <c r="G237" s="368">
        <f t="shared" si="21"/>
        <v>0</v>
      </c>
      <c r="H237" s="401"/>
      <c r="I237" s="546"/>
    </row>
    <row r="238" spans="1:10" s="359" customFormat="1" x14ac:dyDescent="0.25">
      <c r="A238" s="353"/>
      <c r="B238" s="549" t="s">
        <v>1065</v>
      </c>
      <c r="C238" s="362">
        <v>5000</v>
      </c>
      <c r="D238" s="363">
        <v>5000</v>
      </c>
      <c r="E238" s="363">
        <f t="shared" si="20"/>
        <v>100</v>
      </c>
      <c r="F238" s="479"/>
      <c r="G238" s="479">
        <f t="shared" si="21"/>
        <v>0</v>
      </c>
      <c r="H238" s="401"/>
      <c r="I238" s="546"/>
    </row>
    <row r="239" spans="1:10" s="359" customFormat="1" x14ac:dyDescent="0.25">
      <c r="A239" s="353"/>
      <c r="B239" s="354" t="s">
        <v>632</v>
      </c>
      <c r="C239" s="494">
        <f>C240+C241+C242</f>
        <v>411.40000000000003</v>
      </c>
      <c r="D239" s="494">
        <f>D240+D241+D242</f>
        <v>91.4</v>
      </c>
      <c r="E239" s="363">
        <f t="shared" si="20"/>
        <v>22.216820612542538</v>
      </c>
      <c r="F239" s="363"/>
      <c r="G239" s="368">
        <f t="shared" si="21"/>
        <v>320</v>
      </c>
      <c r="H239" s="401"/>
      <c r="I239" s="546"/>
    </row>
    <row r="240" spans="1:10" s="359" customFormat="1" ht="31.5" x14ac:dyDescent="0.25">
      <c r="A240" s="353"/>
      <c r="B240" s="549" t="s">
        <v>1066</v>
      </c>
      <c r="C240" s="362">
        <v>40</v>
      </c>
      <c r="D240" s="419">
        <v>40</v>
      </c>
      <c r="E240" s="363">
        <f t="shared" si="20"/>
        <v>100</v>
      </c>
      <c r="F240" s="479"/>
      <c r="G240" s="479">
        <f t="shared" si="21"/>
        <v>0</v>
      </c>
      <c r="H240" s="401"/>
      <c r="I240" s="546"/>
    </row>
    <row r="241" spans="1:10" s="359" customFormat="1" x14ac:dyDescent="0.25">
      <c r="A241" s="353"/>
      <c r="B241" s="549" t="s">
        <v>1166</v>
      </c>
      <c r="C241" s="362">
        <v>113.3</v>
      </c>
      <c r="D241" s="419">
        <v>0</v>
      </c>
      <c r="E241" s="363">
        <f>SUM(D241/C241*100)</f>
        <v>0</v>
      </c>
      <c r="F241" s="479"/>
      <c r="G241" s="479">
        <f>C241-D241</f>
        <v>113.3</v>
      </c>
      <c r="H241" s="401"/>
      <c r="I241" s="546"/>
    </row>
    <row r="242" spans="1:10" s="359" customFormat="1" x14ac:dyDescent="0.25">
      <c r="A242" s="353"/>
      <c r="B242" s="549" t="s">
        <v>1167</v>
      </c>
      <c r="C242" s="362">
        <v>258.10000000000002</v>
      </c>
      <c r="D242" s="419">
        <v>51.4</v>
      </c>
      <c r="E242" s="363">
        <f>SUM(D242/C242*100)</f>
        <v>19.91476172026346</v>
      </c>
      <c r="F242" s="479"/>
      <c r="G242" s="479">
        <f>C242-D242</f>
        <v>206.70000000000002</v>
      </c>
      <c r="H242" s="401"/>
      <c r="I242" s="546"/>
    </row>
    <row r="243" spans="1:10" s="359" customFormat="1" x14ac:dyDescent="0.25">
      <c r="A243" s="353"/>
      <c r="B243" s="354" t="s">
        <v>282</v>
      </c>
      <c r="C243" s="494">
        <f>C244+C245</f>
        <v>1580</v>
      </c>
      <c r="D243" s="494">
        <f>D244+D245</f>
        <v>1580</v>
      </c>
      <c r="E243" s="363">
        <f t="shared" si="20"/>
        <v>100</v>
      </c>
      <c r="F243" s="479"/>
      <c r="G243" s="479">
        <f t="shared" si="21"/>
        <v>0</v>
      </c>
      <c r="H243" s="401"/>
      <c r="I243" s="546"/>
    </row>
    <row r="244" spans="1:10" s="359" customFormat="1" ht="31.5" x14ac:dyDescent="0.25">
      <c r="A244" s="353"/>
      <c r="B244" s="550" t="s">
        <v>1067</v>
      </c>
      <c r="C244" s="362">
        <v>1500</v>
      </c>
      <c r="D244" s="363">
        <v>1500</v>
      </c>
      <c r="E244" s="363">
        <f t="shared" si="20"/>
        <v>100</v>
      </c>
      <c r="F244" s="479"/>
      <c r="G244" s="479">
        <f t="shared" si="21"/>
        <v>0</v>
      </c>
      <c r="H244" s="401"/>
      <c r="I244" s="546"/>
    </row>
    <row r="245" spans="1:10" s="359" customFormat="1" ht="31.5" x14ac:dyDescent="0.25">
      <c r="A245" s="353"/>
      <c r="B245" s="549" t="s">
        <v>1068</v>
      </c>
      <c r="C245" s="362">
        <v>80</v>
      </c>
      <c r="D245" s="363">
        <v>80</v>
      </c>
      <c r="E245" s="363">
        <f t="shared" si="20"/>
        <v>100</v>
      </c>
      <c r="F245" s="479"/>
      <c r="G245" s="479">
        <f t="shared" si="21"/>
        <v>0</v>
      </c>
      <c r="H245" s="401"/>
      <c r="I245" s="546"/>
    </row>
    <row r="246" spans="1:10" s="359" customFormat="1" x14ac:dyDescent="0.25">
      <c r="A246" s="353"/>
      <c r="B246" s="354" t="s">
        <v>650</v>
      </c>
      <c r="C246" s="494">
        <f>C248+C247</f>
        <v>793.01099999999997</v>
      </c>
      <c r="D246" s="494">
        <f>D248+D247</f>
        <v>710</v>
      </c>
      <c r="E246" s="363">
        <f t="shared" si="20"/>
        <v>89.532175467931722</v>
      </c>
      <c r="F246" s="363"/>
      <c r="G246" s="368">
        <f t="shared" si="21"/>
        <v>83.010999999999967</v>
      </c>
      <c r="H246" s="401"/>
      <c r="I246" s="546"/>
    </row>
    <row r="247" spans="1:10" s="359" customFormat="1" ht="31.5" x14ac:dyDescent="0.25">
      <c r="A247" s="353"/>
      <c r="B247" s="551" t="s">
        <v>1069</v>
      </c>
      <c r="C247" s="362">
        <v>500</v>
      </c>
      <c r="D247" s="362">
        <v>500</v>
      </c>
      <c r="E247" s="363">
        <f t="shared" si="20"/>
        <v>100</v>
      </c>
      <c r="F247" s="363"/>
      <c r="G247" s="368">
        <f t="shared" si="21"/>
        <v>0</v>
      </c>
      <c r="H247" s="401"/>
      <c r="I247" s="546"/>
    </row>
    <row r="248" spans="1:10" s="359" customFormat="1" x14ac:dyDescent="0.25">
      <c r="A248" s="353"/>
      <c r="B248" s="549" t="s">
        <v>1070</v>
      </c>
      <c r="C248" s="362">
        <v>293.01100000000002</v>
      </c>
      <c r="D248" s="363">
        <v>210</v>
      </c>
      <c r="E248" s="363">
        <f t="shared" si="20"/>
        <v>71.669664278815475</v>
      </c>
      <c r="F248" s="363"/>
      <c r="G248" s="368">
        <f t="shared" si="21"/>
        <v>83.011000000000024</v>
      </c>
      <c r="H248" s="528" t="s">
        <v>1073</v>
      </c>
      <c r="I248" s="546"/>
    </row>
    <row r="249" spans="1:10" s="359" customFormat="1" x14ac:dyDescent="0.25">
      <c r="A249" s="353"/>
      <c r="B249" s="552" t="s">
        <v>1071</v>
      </c>
      <c r="C249" s="494">
        <f>C250</f>
        <v>60</v>
      </c>
      <c r="D249" s="494">
        <f>D250</f>
        <v>60</v>
      </c>
      <c r="E249" s="363">
        <f t="shared" si="20"/>
        <v>100</v>
      </c>
      <c r="F249" s="363"/>
      <c r="G249" s="368">
        <f t="shared" si="21"/>
        <v>0</v>
      </c>
      <c r="H249" s="401"/>
      <c r="I249" s="546"/>
    </row>
    <row r="250" spans="1:10" s="359" customFormat="1" x14ac:dyDescent="0.25">
      <c r="A250" s="353"/>
      <c r="B250" s="553" t="s">
        <v>1072</v>
      </c>
      <c r="C250" s="554">
        <v>60</v>
      </c>
      <c r="D250" s="367">
        <v>60</v>
      </c>
      <c r="E250" s="363">
        <f>SUM(D250/C250*100)</f>
        <v>100</v>
      </c>
      <c r="F250" s="363"/>
      <c r="G250" s="368">
        <f t="shared" si="21"/>
        <v>0</v>
      </c>
      <c r="H250" s="401"/>
      <c r="I250" s="546"/>
    </row>
    <row r="251" spans="1:10" s="359" customFormat="1" ht="47.25" x14ac:dyDescent="0.25">
      <c r="A251" s="353"/>
      <c r="B251" s="552" t="s">
        <v>1168</v>
      </c>
      <c r="C251" s="554">
        <f>C252</f>
        <v>8000</v>
      </c>
      <c r="D251" s="367">
        <f>D252</f>
        <v>1727.9</v>
      </c>
      <c r="E251" s="363">
        <f>SUM(D251/C251*100)</f>
        <v>21.598749999999999</v>
      </c>
      <c r="F251" s="363"/>
      <c r="G251" s="368">
        <f t="shared" si="21"/>
        <v>6272.1</v>
      </c>
      <c r="H251" s="401"/>
      <c r="I251" s="546"/>
    </row>
    <row r="252" spans="1:10" s="359" customFormat="1" x14ac:dyDescent="0.25">
      <c r="A252" s="353"/>
      <c r="B252" s="549" t="s">
        <v>1169</v>
      </c>
      <c r="C252" s="554">
        <v>8000</v>
      </c>
      <c r="D252" s="367">
        <v>1727.9</v>
      </c>
      <c r="E252" s="363">
        <f>SUM(D252/C252*100)</f>
        <v>21.598749999999999</v>
      </c>
      <c r="F252" s="363"/>
      <c r="G252" s="368">
        <f t="shared" si="21"/>
        <v>6272.1</v>
      </c>
      <c r="H252" s="401"/>
      <c r="I252" s="546"/>
    </row>
    <row r="253" spans="1:10" s="359" customFormat="1" x14ac:dyDescent="0.25">
      <c r="A253" s="353"/>
      <c r="B253" s="354" t="s">
        <v>539</v>
      </c>
      <c r="C253" s="494">
        <v>1176.6500000000001</v>
      </c>
      <c r="D253" s="555">
        <v>1176.6500000000001</v>
      </c>
      <c r="E253" s="363">
        <f t="shared" si="20"/>
        <v>100</v>
      </c>
      <c r="F253" s="363"/>
      <c r="G253" s="368">
        <f t="shared" si="21"/>
        <v>0</v>
      </c>
      <c r="H253" s="401"/>
      <c r="I253" s="546"/>
    </row>
    <row r="254" spans="1:10" s="624" customFormat="1" ht="52.5" customHeight="1" x14ac:dyDescent="0.25">
      <c r="A254" s="652">
        <v>14</v>
      </c>
      <c r="B254" s="667" t="s">
        <v>1271</v>
      </c>
      <c r="C254" s="663">
        <f>SUM(C255+C266+C269)+C272</f>
        <v>17879.491269999999</v>
      </c>
      <c r="D254" s="663">
        <f>SUM(D255+D266+D269)+D272</f>
        <v>17640.55127</v>
      </c>
      <c r="E254" s="654">
        <f t="shared" ref="E254:E270" si="22">SUM(D254/C254*100)</f>
        <v>98.663608508811905</v>
      </c>
      <c r="F254" s="655">
        <f>D254/(C254/4*3)*100</f>
        <v>131.5514780117492</v>
      </c>
      <c r="G254" s="654">
        <f t="shared" ref="G254:G305" si="23">SUM(C254-D254)</f>
        <v>238.93999999999869</v>
      </c>
      <c r="H254" s="660"/>
      <c r="I254" s="631" t="s">
        <v>1199</v>
      </c>
      <c r="J254" s="668" t="s">
        <v>1111</v>
      </c>
    </row>
    <row r="255" spans="1:10" s="359" customFormat="1" ht="31.5" x14ac:dyDescent="0.25">
      <c r="A255" s="353"/>
      <c r="B255" s="524" t="s">
        <v>474</v>
      </c>
      <c r="C255" s="355">
        <f>SUM(C256)</f>
        <v>1745.67127</v>
      </c>
      <c r="D255" s="355">
        <f>SUM(D256)</f>
        <v>1745.67127</v>
      </c>
      <c r="E255" s="356">
        <f t="shared" si="22"/>
        <v>100</v>
      </c>
      <c r="F255" s="356"/>
      <c r="G255" s="356">
        <f t="shared" si="23"/>
        <v>0</v>
      </c>
      <c r="H255" s="357"/>
      <c r="I255" s="358"/>
    </row>
    <row r="256" spans="1:10" s="359" customFormat="1" x14ac:dyDescent="0.25">
      <c r="A256" s="353"/>
      <c r="B256" s="556" t="s">
        <v>475</v>
      </c>
      <c r="C256" s="557">
        <f>SUM(C257:C265)</f>
        <v>1745.67127</v>
      </c>
      <c r="D256" s="557">
        <f>SUM(D257:D265)</f>
        <v>1745.67127</v>
      </c>
      <c r="E256" s="367">
        <f t="shared" si="22"/>
        <v>100</v>
      </c>
      <c r="F256" s="367"/>
      <c r="G256" s="367">
        <f t="shared" si="23"/>
        <v>0</v>
      </c>
      <c r="H256" s="357"/>
      <c r="I256" s="358"/>
    </row>
    <row r="257" spans="1:9" s="359" customFormat="1" ht="47.25" x14ac:dyDescent="0.25">
      <c r="A257" s="353"/>
      <c r="B257" s="527" t="s">
        <v>859</v>
      </c>
      <c r="C257" s="558">
        <f>299.9</f>
        <v>299.89999999999998</v>
      </c>
      <c r="D257" s="558">
        <v>299.89999999999998</v>
      </c>
      <c r="E257" s="363">
        <f t="shared" ref="E257:E265" si="24">SUM(D257/C257*100)</f>
        <v>100</v>
      </c>
      <c r="F257" s="363"/>
      <c r="G257" s="363">
        <f t="shared" si="23"/>
        <v>0</v>
      </c>
      <c r="H257" s="357"/>
      <c r="I257" s="358"/>
    </row>
    <row r="258" spans="1:9" s="359" customFormat="1" ht="31.5" x14ac:dyDescent="0.25">
      <c r="A258" s="353"/>
      <c r="B258" s="527" t="s">
        <v>956</v>
      </c>
      <c r="C258" s="558">
        <v>100.3</v>
      </c>
      <c r="D258" s="558">
        <v>100.3</v>
      </c>
      <c r="E258" s="363">
        <f t="shared" si="24"/>
        <v>100</v>
      </c>
      <c r="F258" s="363"/>
      <c r="G258" s="363">
        <f t="shared" si="23"/>
        <v>0</v>
      </c>
      <c r="H258" s="357"/>
      <c r="I258" s="358"/>
    </row>
    <row r="259" spans="1:9" s="359" customFormat="1" x14ac:dyDescent="0.25">
      <c r="A259" s="353"/>
      <c r="B259" s="527" t="s">
        <v>860</v>
      </c>
      <c r="C259" s="558">
        <v>194.935</v>
      </c>
      <c r="D259" s="558">
        <v>194.935</v>
      </c>
      <c r="E259" s="363">
        <f t="shared" si="24"/>
        <v>100</v>
      </c>
      <c r="F259" s="363"/>
      <c r="G259" s="363">
        <f t="shared" si="23"/>
        <v>0</v>
      </c>
      <c r="H259" s="542"/>
      <c r="I259" s="358"/>
    </row>
    <row r="260" spans="1:9" s="359" customFormat="1" ht="31.5" x14ac:dyDescent="0.25">
      <c r="A260" s="353"/>
      <c r="B260" s="357" t="s">
        <v>861</v>
      </c>
      <c r="C260" s="558">
        <v>63</v>
      </c>
      <c r="D260" s="558">
        <v>63</v>
      </c>
      <c r="E260" s="363">
        <f t="shared" si="24"/>
        <v>100</v>
      </c>
      <c r="F260" s="363"/>
      <c r="G260" s="363">
        <f t="shared" si="23"/>
        <v>0</v>
      </c>
      <c r="H260" s="357"/>
      <c r="I260" s="358"/>
    </row>
    <row r="261" spans="1:9" s="359" customFormat="1" ht="31.5" x14ac:dyDescent="0.25">
      <c r="A261" s="353"/>
      <c r="B261" s="357" t="s">
        <v>958</v>
      </c>
      <c r="C261" s="558">
        <v>250</v>
      </c>
      <c r="D261" s="558">
        <v>250</v>
      </c>
      <c r="E261" s="363">
        <f t="shared" si="24"/>
        <v>100</v>
      </c>
      <c r="F261" s="363"/>
      <c r="G261" s="363">
        <f t="shared" si="23"/>
        <v>0</v>
      </c>
      <c r="H261" s="357"/>
      <c r="I261" s="358"/>
    </row>
    <row r="262" spans="1:9" s="359" customFormat="1" ht="31.5" x14ac:dyDescent="0.25">
      <c r="A262" s="353"/>
      <c r="B262" s="357" t="s">
        <v>959</v>
      </c>
      <c r="C262" s="558">
        <v>250</v>
      </c>
      <c r="D262" s="558">
        <v>250</v>
      </c>
      <c r="E262" s="363">
        <f t="shared" si="24"/>
        <v>100</v>
      </c>
      <c r="F262" s="363"/>
      <c r="G262" s="363">
        <f t="shared" si="23"/>
        <v>0</v>
      </c>
      <c r="H262" s="357"/>
      <c r="I262" s="358"/>
    </row>
    <row r="263" spans="1:9" s="359" customFormat="1" ht="31.5" x14ac:dyDescent="0.25">
      <c r="A263" s="353"/>
      <c r="B263" s="357" t="s">
        <v>960</v>
      </c>
      <c r="C263" s="558">
        <v>200</v>
      </c>
      <c r="D263" s="558">
        <v>200</v>
      </c>
      <c r="E263" s="363">
        <f t="shared" si="24"/>
        <v>100</v>
      </c>
      <c r="F263" s="363"/>
      <c r="G263" s="363">
        <f t="shared" si="23"/>
        <v>0</v>
      </c>
      <c r="H263" s="357"/>
      <c r="I263" s="358"/>
    </row>
    <row r="264" spans="1:9" s="359" customFormat="1" ht="31.5" x14ac:dyDescent="0.25">
      <c r="A264" s="353"/>
      <c r="B264" s="357" t="s">
        <v>961</v>
      </c>
      <c r="C264" s="558">
        <v>200</v>
      </c>
      <c r="D264" s="558">
        <v>200</v>
      </c>
      <c r="E264" s="363">
        <f t="shared" si="24"/>
        <v>100</v>
      </c>
      <c r="F264" s="363"/>
      <c r="G264" s="363">
        <f t="shared" si="23"/>
        <v>0</v>
      </c>
      <c r="H264" s="357"/>
      <c r="I264" s="358"/>
    </row>
    <row r="265" spans="1:9" s="359" customFormat="1" ht="31.5" x14ac:dyDescent="0.25">
      <c r="A265" s="353"/>
      <c r="B265" s="357" t="s">
        <v>962</v>
      </c>
      <c r="C265" s="558">
        <v>187.53627</v>
      </c>
      <c r="D265" s="558">
        <v>187.53627</v>
      </c>
      <c r="E265" s="363">
        <f t="shared" si="24"/>
        <v>100</v>
      </c>
      <c r="F265" s="363"/>
      <c r="G265" s="363">
        <f t="shared" si="23"/>
        <v>0</v>
      </c>
      <c r="H265" s="357"/>
      <c r="I265" s="358"/>
    </row>
    <row r="266" spans="1:9" s="359" customFormat="1" x14ac:dyDescent="0.25">
      <c r="A266" s="353"/>
      <c r="B266" s="524" t="s">
        <v>477</v>
      </c>
      <c r="C266" s="355">
        <f>SUM(C267:C268)</f>
        <v>4303.63</v>
      </c>
      <c r="D266" s="355">
        <f>SUM(D267:D268)</f>
        <v>4303.63</v>
      </c>
      <c r="E266" s="356">
        <f t="shared" si="22"/>
        <v>100</v>
      </c>
      <c r="F266" s="356"/>
      <c r="G266" s="356">
        <f t="shared" si="23"/>
        <v>0</v>
      </c>
      <c r="H266" s="357"/>
      <c r="I266" s="358"/>
    </row>
    <row r="267" spans="1:9" s="359" customFormat="1" x14ac:dyDescent="0.25">
      <c r="A267" s="353"/>
      <c r="B267" s="527" t="s">
        <v>957</v>
      </c>
      <c r="C267" s="368">
        <v>3877.88</v>
      </c>
      <c r="D267" s="368">
        <v>3877.88</v>
      </c>
      <c r="E267" s="363">
        <f t="shared" si="22"/>
        <v>100</v>
      </c>
      <c r="F267" s="363"/>
      <c r="G267" s="363">
        <f t="shared" si="23"/>
        <v>0</v>
      </c>
      <c r="H267" s="357" t="s">
        <v>1277</v>
      </c>
      <c r="I267" s="358"/>
    </row>
    <row r="268" spans="1:9" s="359" customFormat="1" x14ac:dyDescent="0.25">
      <c r="A268" s="353"/>
      <c r="B268" s="527" t="s">
        <v>945</v>
      </c>
      <c r="C268" s="368">
        <v>425.75</v>
      </c>
      <c r="D268" s="368">
        <v>425.75</v>
      </c>
      <c r="E268" s="363">
        <f t="shared" si="22"/>
        <v>100</v>
      </c>
      <c r="F268" s="363"/>
      <c r="G268" s="363">
        <f t="shared" si="23"/>
        <v>0</v>
      </c>
      <c r="H268" s="357"/>
      <c r="I268" s="358"/>
    </row>
    <row r="269" spans="1:9" s="359" customFormat="1" x14ac:dyDescent="0.25">
      <c r="A269" s="353"/>
      <c r="B269" s="524" t="s">
        <v>953</v>
      </c>
      <c r="C269" s="355">
        <f>SUM(C270:C271)</f>
        <v>9632.83</v>
      </c>
      <c r="D269" s="355">
        <f>SUM(D270:D271)</f>
        <v>9612.93</v>
      </c>
      <c r="E269" s="356">
        <f t="shared" si="22"/>
        <v>99.793414811638954</v>
      </c>
      <c r="F269" s="356"/>
      <c r="G269" s="356">
        <f t="shared" si="23"/>
        <v>19.899999999999636</v>
      </c>
      <c r="H269" s="357"/>
      <c r="I269" s="358"/>
    </row>
    <row r="270" spans="1:9" s="359" customFormat="1" x14ac:dyDescent="0.25">
      <c r="A270" s="353"/>
      <c r="B270" s="527" t="s">
        <v>479</v>
      </c>
      <c r="C270" s="368">
        <v>6532.83</v>
      </c>
      <c r="D270" s="368">
        <v>6512.93</v>
      </c>
      <c r="E270" s="363">
        <f t="shared" si="22"/>
        <v>99.695384695453583</v>
      </c>
      <c r="F270" s="363"/>
      <c r="G270" s="363">
        <f t="shared" si="23"/>
        <v>19.899999999999636</v>
      </c>
      <c r="H270" s="372" t="s">
        <v>772</v>
      </c>
      <c r="I270" s="358"/>
    </row>
    <row r="271" spans="1:9" s="359" customFormat="1" x14ac:dyDescent="0.25">
      <c r="A271" s="353"/>
      <c r="B271" s="527" t="s">
        <v>954</v>
      </c>
      <c r="C271" s="368">
        <v>3100</v>
      </c>
      <c r="D271" s="368">
        <v>3100</v>
      </c>
      <c r="E271" s="363">
        <f t="shared" ref="E271:E276" si="25">SUM(D271/C271*100)</f>
        <v>100</v>
      </c>
      <c r="F271" s="363"/>
      <c r="G271" s="363">
        <f t="shared" si="23"/>
        <v>0</v>
      </c>
      <c r="H271" s="489"/>
      <c r="I271" s="358"/>
    </row>
    <row r="272" spans="1:9" s="359" customFormat="1" ht="31.5" x14ac:dyDescent="0.25">
      <c r="A272" s="353"/>
      <c r="B272" s="524" t="s">
        <v>481</v>
      </c>
      <c r="C272" s="356">
        <f>SUM(C273)</f>
        <v>2197.36</v>
      </c>
      <c r="D272" s="356">
        <f>SUM(D273)</f>
        <v>1978.3200000000002</v>
      </c>
      <c r="E272" s="356">
        <f t="shared" si="25"/>
        <v>90.031674372883828</v>
      </c>
      <c r="F272" s="356"/>
      <c r="G272" s="356">
        <f t="shared" si="23"/>
        <v>219.03999999999996</v>
      </c>
      <c r="H272" s="357"/>
      <c r="I272" s="358"/>
    </row>
    <row r="273" spans="1:9" s="359" customFormat="1" x14ac:dyDescent="0.25">
      <c r="A273" s="353"/>
      <c r="B273" s="527" t="s">
        <v>221</v>
      </c>
      <c r="C273" s="363">
        <f>SUM(C274:C276)</f>
        <v>2197.36</v>
      </c>
      <c r="D273" s="363">
        <f>SUM(D274:D276)</f>
        <v>1978.3200000000002</v>
      </c>
      <c r="E273" s="363">
        <f t="shared" si="25"/>
        <v>90.031674372883828</v>
      </c>
      <c r="F273" s="363"/>
      <c r="G273" s="363">
        <f t="shared" si="23"/>
        <v>219.03999999999996</v>
      </c>
      <c r="H273" s="508"/>
      <c r="I273" s="358"/>
    </row>
    <row r="274" spans="1:9" s="359" customFormat="1" ht="31.5" x14ac:dyDescent="0.25">
      <c r="A274" s="353"/>
      <c r="B274" s="527" t="s">
        <v>955</v>
      </c>
      <c r="C274" s="363">
        <v>871.36</v>
      </c>
      <c r="D274" s="363">
        <v>652.32000000000005</v>
      </c>
      <c r="E274" s="363">
        <f t="shared" si="25"/>
        <v>74.862284245317667</v>
      </c>
      <c r="F274" s="363"/>
      <c r="G274" s="363">
        <f t="shared" si="23"/>
        <v>219.03999999999996</v>
      </c>
      <c r="H274" s="373" t="s">
        <v>1128</v>
      </c>
      <c r="I274" s="464"/>
    </row>
    <row r="275" spans="1:9" s="359" customFormat="1" x14ac:dyDescent="0.25">
      <c r="A275" s="353"/>
      <c r="B275" s="527" t="s">
        <v>862</v>
      </c>
      <c r="C275" s="363">
        <v>326</v>
      </c>
      <c r="D275" s="363">
        <v>326</v>
      </c>
      <c r="E275" s="363">
        <f t="shared" si="25"/>
        <v>100</v>
      </c>
      <c r="F275" s="363"/>
      <c r="G275" s="363">
        <f t="shared" si="23"/>
        <v>0</v>
      </c>
      <c r="H275" s="508"/>
      <c r="I275" s="464"/>
    </row>
    <row r="276" spans="1:9" s="359" customFormat="1" ht="31.5" x14ac:dyDescent="0.25">
      <c r="A276" s="353"/>
      <c r="B276" s="400" t="s">
        <v>863</v>
      </c>
      <c r="C276" s="363">
        <v>1000</v>
      </c>
      <c r="D276" s="363">
        <v>1000</v>
      </c>
      <c r="E276" s="363">
        <f t="shared" si="25"/>
        <v>100</v>
      </c>
      <c r="F276" s="363"/>
      <c r="G276" s="363">
        <f t="shared" si="23"/>
        <v>0</v>
      </c>
      <c r="H276" s="508"/>
      <c r="I276" s="464"/>
    </row>
    <row r="277" spans="1:9" s="624" customFormat="1" ht="31.5" x14ac:dyDescent="0.25">
      <c r="A277" s="652">
        <v>15</v>
      </c>
      <c r="B277" s="623" t="s">
        <v>482</v>
      </c>
      <c r="C277" s="654">
        <f>SUM(C278+C284)+C282</f>
        <v>17029.558760000004</v>
      </c>
      <c r="D277" s="654">
        <f>SUM(D278+D284)+D282</f>
        <v>15835.168819999999</v>
      </c>
      <c r="E277" s="654">
        <f>SUM(D277/C277*100)</f>
        <v>92.986371773733467</v>
      </c>
      <c r="F277" s="655">
        <f>D277/(C277/4*3)*100</f>
        <v>123.98182903164461</v>
      </c>
      <c r="G277" s="654">
        <f t="shared" si="23"/>
        <v>1194.3899400000046</v>
      </c>
      <c r="H277" s="660"/>
      <c r="I277" s="666" t="s">
        <v>864</v>
      </c>
    </row>
    <row r="278" spans="1:9" s="359" customFormat="1" ht="15.75" customHeight="1" x14ac:dyDescent="0.25">
      <c r="A278" s="353"/>
      <c r="B278" s="524" t="s">
        <v>865</v>
      </c>
      <c r="C278" s="559">
        <f>SUM(C279:C281)</f>
        <v>3909.3295800000001</v>
      </c>
      <c r="D278" s="559">
        <f>SUM(D279:D281)</f>
        <v>3909.3295800000001</v>
      </c>
      <c r="E278" s="356">
        <f>SUM(D278/C278*100)</f>
        <v>100</v>
      </c>
      <c r="F278" s="356"/>
      <c r="G278" s="356">
        <f t="shared" si="23"/>
        <v>0</v>
      </c>
      <c r="H278" s="463"/>
      <c r="I278" s="358"/>
    </row>
    <row r="279" spans="1:9" s="359" customFormat="1" ht="63" x14ac:dyDescent="0.25">
      <c r="A279" s="353"/>
      <c r="B279" s="560" t="s">
        <v>1104</v>
      </c>
      <c r="C279" s="561">
        <f>3515+263.464</f>
        <v>3778.4639999999999</v>
      </c>
      <c r="D279" s="562">
        <v>3778.4639999999999</v>
      </c>
      <c r="E279" s="363">
        <f>SUM(D279/C279*100)</f>
        <v>100</v>
      </c>
      <c r="F279" s="363"/>
      <c r="G279" s="363">
        <f t="shared" si="23"/>
        <v>0</v>
      </c>
      <c r="H279" s="542" t="s">
        <v>1108</v>
      </c>
      <c r="I279" s="358"/>
    </row>
    <row r="280" spans="1:9" s="359" customFormat="1" ht="31.5" x14ac:dyDescent="0.25">
      <c r="A280" s="353"/>
      <c r="B280" s="560" t="s">
        <v>866</v>
      </c>
      <c r="C280" s="561">
        <v>0</v>
      </c>
      <c r="D280" s="505">
        <v>0</v>
      </c>
      <c r="E280" s="363">
        <v>0</v>
      </c>
      <c r="F280" s="363"/>
      <c r="G280" s="363">
        <f t="shared" si="23"/>
        <v>0</v>
      </c>
      <c r="H280" s="542" t="s">
        <v>867</v>
      </c>
      <c r="I280" s="358"/>
    </row>
    <row r="281" spans="1:9" s="359" customFormat="1" x14ac:dyDescent="0.25">
      <c r="A281" s="353"/>
      <c r="B281" s="560" t="s">
        <v>868</v>
      </c>
      <c r="C281" s="561">
        <v>130.86557999999999</v>
      </c>
      <c r="D281" s="505">
        <v>130.86557999999999</v>
      </c>
      <c r="E281" s="363">
        <f t="shared" ref="E281:E292" si="26">SUM(D281/C281*100)</f>
        <v>100</v>
      </c>
      <c r="F281" s="363"/>
      <c r="G281" s="363">
        <f t="shared" si="23"/>
        <v>0</v>
      </c>
      <c r="H281" s="400" t="s">
        <v>1109</v>
      </c>
      <c r="I281" s="358"/>
    </row>
    <row r="282" spans="1:9" s="359" customFormat="1" x14ac:dyDescent="0.25">
      <c r="A282" s="353"/>
      <c r="B282" s="524" t="s">
        <v>483</v>
      </c>
      <c r="C282" s="559">
        <f>SUM(C283:C283)</f>
        <v>363.50700000000001</v>
      </c>
      <c r="D282" s="519">
        <f>SUM(D283)</f>
        <v>363.50700000000001</v>
      </c>
      <c r="E282" s="356">
        <f t="shared" si="26"/>
        <v>100</v>
      </c>
      <c r="F282" s="356"/>
      <c r="G282" s="356">
        <f t="shared" si="23"/>
        <v>0</v>
      </c>
      <c r="H282" s="463"/>
      <c r="I282" s="358"/>
    </row>
    <row r="283" spans="1:9" s="359" customFormat="1" ht="47.25" x14ac:dyDescent="0.25">
      <c r="A283" s="353"/>
      <c r="B283" s="400" t="s">
        <v>870</v>
      </c>
      <c r="C283" s="561">
        <f>248.507+115</f>
        <v>363.50700000000001</v>
      </c>
      <c r="D283" s="505">
        <v>363.50700000000001</v>
      </c>
      <c r="E283" s="363">
        <f t="shared" si="26"/>
        <v>100</v>
      </c>
      <c r="F283" s="363"/>
      <c r="G283" s="363">
        <f t="shared" si="23"/>
        <v>0</v>
      </c>
      <c r="H283" s="357" t="s">
        <v>1107</v>
      </c>
      <c r="I283" s="358"/>
    </row>
    <row r="284" spans="1:9" s="359" customFormat="1" ht="31.5" x14ac:dyDescent="0.25">
      <c r="A284" s="353"/>
      <c r="B284" s="495" t="s">
        <v>484</v>
      </c>
      <c r="C284" s="559">
        <f>SUM(C285:C292)</f>
        <v>12756.722180000001</v>
      </c>
      <c r="D284" s="559">
        <f>SUM(D285:D292)</f>
        <v>11562.33224</v>
      </c>
      <c r="E284" s="356">
        <f t="shared" si="26"/>
        <v>90.637172126609713</v>
      </c>
      <c r="F284" s="356"/>
      <c r="G284" s="356">
        <f t="shared" si="23"/>
        <v>1194.3899400000009</v>
      </c>
      <c r="H284" s="463"/>
      <c r="I284" s="358"/>
    </row>
    <row r="285" spans="1:9" s="359" customFormat="1" ht="83.25" customHeight="1" x14ac:dyDescent="0.25">
      <c r="A285" s="353"/>
      <c r="B285" s="400" t="s">
        <v>871</v>
      </c>
      <c r="C285" s="561">
        <f>168.4713</f>
        <v>168.47130000000001</v>
      </c>
      <c r="D285" s="505">
        <v>84.424999999999997</v>
      </c>
      <c r="E285" s="363">
        <f>D285/C285*100</f>
        <v>50.112393030741728</v>
      </c>
      <c r="F285" s="363"/>
      <c r="G285" s="363">
        <f t="shared" si="23"/>
        <v>84.046300000000016</v>
      </c>
      <c r="H285" s="357" t="s">
        <v>1105</v>
      </c>
      <c r="I285" s="358"/>
    </row>
    <row r="286" spans="1:9" s="359" customFormat="1" ht="47.25" x14ac:dyDescent="0.25">
      <c r="A286" s="353"/>
      <c r="B286" s="400" t="s">
        <v>873</v>
      </c>
      <c r="C286" s="561">
        <v>4880.9530000000004</v>
      </c>
      <c r="D286" s="505">
        <v>3770.6052399999999</v>
      </c>
      <c r="E286" s="363">
        <f t="shared" si="26"/>
        <v>77.251414631527894</v>
      </c>
      <c r="F286" s="363"/>
      <c r="G286" s="363">
        <f t="shared" si="23"/>
        <v>1110.3477600000006</v>
      </c>
      <c r="H286" s="357" t="s">
        <v>874</v>
      </c>
      <c r="I286" s="358"/>
    </row>
    <row r="287" spans="1:9" s="359" customFormat="1" ht="31.5" x14ac:dyDescent="0.25">
      <c r="A287" s="353"/>
      <c r="B287" s="400" t="s">
        <v>875</v>
      </c>
      <c r="C287" s="563">
        <v>773.19587999999999</v>
      </c>
      <c r="D287" s="505">
        <v>773.2</v>
      </c>
      <c r="E287" s="363">
        <f t="shared" si="26"/>
        <v>100.0005328533308</v>
      </c>
      <c r="F287" s="363"/>
      <c r="G287" s="363">
        <f t="shared" si="23"/>
        <v>-4.120000000057189E-3</v>
      </c>
      <c r="H287" s="399" t="s">
        <v>1106</v>
      </c>
      <c r="I287" s="358"/>
    </row>
    <row r="288" spans="1:9" s="359" customFormat="1" ht="31.5" x14ac:dyDescent="0.25">
      <c r="A288" s="353"/>
      <c r="B288" s="400" t="s">
        <v>872</v>
      </c>
      <c r="C288" s="563">
        <v>80.27</v>
      </c>
      <c r="D288" s="505">
        <v>80.27</v>
      </c>
      <c r="E288" s="363">
        <f t="shared" si="26"/>
        <v>100</v>
      </c>
      <c r="F288" s="363"/>
      <c r="G288" s="363">
        <f t="shared" si="23"/>
        <v>0</v>
      </c>
      <c r="H288" s="399" t="s">
        <v>1106</v>
      </c>
      <c r="I288" s="358"/>
    </row>
    <row r="289" spans="1:9" s="359" customFormat="1" ht="31.5" x14ac:dyDescent="0.25">
      <c r="A289" s="353"/>
      <c r="B289" s="400" t="s">
        <v>876</v>
      </c>
      <c r="C289" s="563">
        <v>1473.3119999999999</v>
      </c>
      <c r="D289" s="563">
        <v>1473.3119999999999</v>
      </c>
      <c r="E289" s="363">
        <f t="shared" si="26"/>
        <v>100</v>
      </c>
      <c r="F289" s="363"/>
      <c r="G289" s="363">
        <f t="shared" si="23"/>
        <v>0</v>
      </c>
      <c r="H289" s="399" t="s">
        <v>1106</v>
      </c>
      <c r="I289" s="358"/>
    </row>
    <row r="290" spans="1:9" s="359" customFormat="1" x14ac:dyDescent="0.25">
      <c r="A290" s="353"/>
      <c r="B290" s="400" t="s">
        <v>877</v>
      </c>
      <c r="C290" s="563">
        <v>1843.66</v>
      </c>
      <c r="D290" s="505">
        <v>1843.66</v>
      </c>
      <c r="E290" s="363">
        <f t="shared" si="26"/>
        <v>100</v>
      </c>
      <c r="F290" s="363"/>
      <c r="G290" s="363">
        <f t="shared" si="23"/>
        <v>0</v>
      </c>
      <c r="H290" s="399" t="s">
        <v>1106</v>
      </c>
      <c r="I290" s="358"/>
    </row>
    <row r="291" spans="1:9" s="359" customFormat="1" x14ac:dyDescent="0.25">
      <c r="A291" s="353"/>
      <c r="B291" s="400" t="s">
        <v>878</v>
      </c>
      <c r="C291" s="563">
        <v>2806.32</v>
      </c>
      <c r="D291" s="563">
        <v>2806.32</v>
      </c>
      <c r="E291" s="363">
        <f t="shared" si="26"/>
        <v>100</v>
      </c>
      <c r="F291" s="363"/>
      <c r="G291" s="363">
        <f t="shared" si="23"/>
        <v>0</v>
      </c>
      <c r="H291" s="399" t="s">
        <v>1106</v>
      </c>
      <c r="I291" s="358"/>
    </row>
    <row r="292" spans="1:9" s="359" customFormat="1" ht="47.25" x14ac:dyDescent="0.25">
      <c r="A292" s="353"/>
      <c r="B292" s="560" t="s">
        <v>869</v>
      </c>
      <c r="C292" s="561">
        <v>730.54</v>
      </c>
      <c r="D292" s="505">
        <v>730.54</v>
      </c>
      <c r="E292" s="363">
        <f t="shared" si="26"/>
        <v>100</v>
      </c>
      <c r="F292" s="363"/>
      <c r="G292" s="363">
        <f t="shared" si="23"/>
        <v>0</v>
      </c>
      <c r="H292" s="357" t="s">
        <v>879</v>
      </c>
      <c r="I292" s="358"/>
    </row>
    <row r="293" spans="1:9" s="624" customFormat="1" ht="31.5" x14ac:dyDescent="0.25">
      <c r="A293" s="652">
        <v>16</v>
      </c>
      <c r="B293" s="625" t="s">
        <v>1372</v>
      </c>
      <c r="C293" s="654">
        <f>SUM(C294+C296+C299+C301)</f>
        <v>173</v>
      </c>
      <c r="D293" s="654">
        <f>SUM(D294+D296+D299+D301)</f>
        <v>173</v>
      </c>
      <c r="E293" s="654">
        <f t="shared" ref="E293:E310" si="27">SUM(D293/C293*100)</f>
        <v>100</v>
      </c>
      <c r="F293" s="655">
        <f>D293/(C293/4*3)*100</f>
        <v>133.33333333333331</v>
      </c>
      <c r="G293" s="654">
        <f t="shared" si="23"/>
        <v>0</v>
      </c>
      <c r="H293" s="665"/>
      <c r="I293" s="665" t="s">
        <v>1203</v>
      </c>
    </row>
    <row r="294" spans="1:9" s="359" customFormat="1" ht="31.5" x14ac:dyDescent="0.25">
      <c r="A294" s="353"/>
      <c r="B294" s="564" t="s">
        <v>485</v>
      </c>
      <c r="C294" s="356">
        <f>SUM(C295:C295)</f>
        <v>138</v>
      </c>
      <c r="D294" s="356">
        <f>SUM(D295:D295)</f>
        <v>138</v>
      </c>
      <c r="E294" s="356">
        <f t="shared" si="27"/>
        <v>100</v>
      </c>
      <c r="F294" s="356"/>
      <c r="G294" s="356">
        <f t="shared" si="23"/>
        <v>0</v>
      </c>
      <c r="H294" s="357"/>
      <c r="I294" s="358"/>
    </row>
    <row r="295" spans="1:9" s="359" customFormat="1" ht="48.75" customHeight="1" x14ac:dyDescent="0.25">
      <c r="A295" s="353"/>
      <c r="B295" s="565" t="s">
        <v>486</v>
      </c>
      <c r="C295" s="363">
        <v>138</v>
      </c>
      <c r="D295" s="363">
        <v>138</v>
      </c>
      <c r="E295" s="363">
        <f t="shared" si="27"/>
        <v>100</v>
      </c>
      <c r="F295" s="363"/>
      <c r="G295" s="363">
        <f t="shared" si="23"/>
        <v>0</v>
      </c>
      <c r="H295" s="357" t="s">
        <v>1009</v>
      </c>
      <c r="I295" s="358"/>
    </row>
    <row r="296" spans="1:9" s="359" customFormat="1" x14ac:dyDescent="0.25">
      <c r="A296" s="353"/>
      <c r="B296" s="566" t="s">
        <v>487</v>
      </c>
      <c r="C296" s="356">
        <f>SUM(C297:C298)</f>
        <v>0</v>
      </c>
      <c r="D296" s="356">
        <f>SUM(D297:D298)</f>
        <v>0</v>
      </c>
      <c r="E296" s="356">
        <v>0</v>
      </c>
      <c r="F296" s="356"/>
      <c r="G296" s="356">
        <f t="shared" si="23"/>
        <v>0</v>
      </c>
      <c r="H296" s="463"/>
      <c r="I296" s="358"/>
    </row>
    <row r="297" spans="1:9" s="359" customFormat="1" ht="47.25" x14ac:dyDescent="0.25">
      <c r="A297" s="353"/>
      <c r="B297" s="481" t="s">
        <v>488</v>
      </c>
      <c r="C297" s="363">
        <v>0</v>
      </c>
      <c r="D297" s="363">
        <v>0</v>
      </c>
      <c r="E297" s="363">
        <v>0</v>
      </c>
      <c r="F297" s="363"/>
      <c r="G297" s="363">
        <f t="shared" si="23"/>
        <v>0</v>
      </c>
      <c r="H297" s="357"/>
      <c r="I297" s="358"/>
    </row>
    <row r="298" spans="1:9" s="359" customFormat="1" ht="31.5" x14ac:dyDescent="0.25">
      <c r="A298" s="353"/>
      <c r="B298" s="550" t="s">
        <v>489</v>
      </c>
      <c r="C298" s="363">
        <v>0</v>
      </c>
      <c r="D298" s="363">
        <v>0</v>
      </c>
      <c r="E298" s="363">
        <v>0</v>
      </c>
      <c r="F298" s="363"/>
      <c r="G298" s="363">
        <f t="shared" si="23"/>
        <v>0</v>
      </c>
      <c r="H298" s="357"/>
      <c r="I298" s="358"/>
    </row>
    <row r="299" spans="1:9" s="359" customFormat="1" x14ac:dyDescent="0.25">
      <c r="A299" s="353"/>
      <c r="B299" s="364" t="s">
        <v>330</v>
      </c>
      <c r="C299" s="356">
        <f>SUM(C300)</f>
        <v>0</v>
      </c>
      <c r="D299" s="356">
        <f>SUM(D300)</f>
        <v>0</v>
      </c>
      <c r="E299" s="356">
        <v>0</v>
      </c>
      <c r="F299" s="356"/>
      <c r="G299" s="356">
        <f t="shared" si="23"/>
        <v>0</v>
      </c>
      <c r="H299" s="357"/>
      <c r="I299" s="358"/>
    </row>
    <row r="300" spans="1:9" s="359" customFormat="1" ht="31.5" x14ac:dyDescent="0.25">
      <c r="A300" s="353"/>
      <c r="B300" s="496" t="s">
        <v>490</v>
      </c>
      <c r="C300" s="363">
        <v>0</v>
      </c>
      <c r="D300" s="363">
        <v>0</v>
      </c>
      <c r="E300" s="363">
        <v>0</v>
      </c>
      <c r="F300" s="363"/>
      <c r="G300" s="363">
        <f t="shared" si="23"/>
        <v>0</v>
      </c>
      <c r="H300" s="357"/>
      <c r="I300" s="358"/>
    </row>
    <row r="301" spans="1:9" s="359" customFormat="1" x14ac:dyDescent="0.25">
      <c r="A301" s="353"/>
      <c r="B301" s="567" t="s">
        <v>331</v>
      </c>
      <c r="C301" s="363">
        <f>C302</f>
        <v>35</v>
      </c>
      <c r="D301" s="363">
        <f>D302</f>
        <v>35</v>
      </c>
      <c r="E301" s="363">
        <f t="shared" si="27"/>
        <v>100</v>
      </c>
      <c r="F301" s="363"/>
      <c r="G301" s="363">
        <f t="shared" si="23"/>
        <v>0</v>
      </c>
      <c r="H301" s="357"/>
      <c r="I301" s="358"/>
    </row>
    <row r="302" spans="1:9" s="359" customFormat="1" ht="31.5" x14ac:dyDescent="0.25">
      <c r="A302" s="353"/>
      <c r="B302" s="496" t="s">
        <v>1061</v>
      </c>
      <c r="C302" s="363">
        <v>35</v>
      </c>
      <c r="D302" s="363">
        <v>35</v>
      </c>
      <c r="E302" s="363">
        <f t="shared" si="27"/>
        <v>100</v>
      </c>
      <c r="F302" s="363"/>
      <c r="G302" s="363">
        <f t="shared" si="23"/>
        <v>0</v>
      </c>
      <c r="H302" s="357"/>
      <c r="I302" s="358"/>
    </row>
    <row r="303" spans="1:9" s="624" customFormat="1" ht="47.25" x14ac:dyDescent="0.25">
      <c r="A303" s="652">
        <v>17</v>
      </c>
      <c r="B303" s="623" t="s">
        <v>1286</v>
      </c>
      <c r="C303" s="663">
        <f>SUM(C304:C305)</f>
        <v>406.62900000000002</v>
      </c>
      <c r="D303" s="663">
        <f>SUM(D304:D305)</f>
        <v>406.63</v>
      </c>
      <c r="E303" s="654">
        <f t="shared" si="27"/>
        <v>100.00024592441758</v>
      </c>
      <c r="F303" s="655">
        <f>D303/(C303/4*3)*100</f>
        <v>133.33366123255678</v>
      </c>
      <c r="G303" s="654">
        <f t="shared" si="23"/>
        <v>-9.9999999997635314E-4</v>
      </c>
      <c r="H303" s="660"/>
      <c r="I303" s="664" t="s">
        <v>1200</v>
      </c>
    </row>
    <row r="304" spans="1:9" s="359" customFormat="1" ht="31.5" x14ac:dyDescent="0.25">
      <c r="A304" s="353"/>
      <c r="B304" s="568" t="s">
        <v>493</v>
      </c>
      <c r="C304" s="362">
        <v>292.62900000000002</v>
      </c>
      <c r="D304" s="363">
        <v>292.63</v>
      </c>
      <c r="E304" s="363">
        <f t="shared" si="27"/>
        <v>100.00034172963035</v>
      </c>
      <c r="F304" s="363"/>
      <c r="G304" s="363">
        <f t="shared" si="23"/>
        <v>-9.9999999997635314E-4</v>
      </c>
      <c r="H304" s="357"/>
      <c r="I304" s="358"/>
    </row>
    <row r="305" spans="1:10" s="359" customFormat="1" x14ac:dyDescent="0.25">
      <c r="A305" s="353"/>
      <c r="B305" s="568" t="s">
        <v>494</v>
      </c>
      <c r="C305" s="363">
        <v>114</v>
      </c>
      <c r="D305" s="363">
        <v>114</v>
      </c>
      <c r="E305" s="363">
        <f t="shared" si="27"/>
        <v>100</v>
      </c>
      <c r="F305" s="363"/>
      <c r="G305" s="363">
        <f t="shared" si="23"/>
        <v>0</v>
      </c>
      <c r="H305" s="463"/>
      <c r="I305" s="358"/>
    </row>
    <row r="306" spans="1:10" s="624" customFormat="1" ht="31.5" x14ac:dyDescent="0.25">
      <c r="A306" s="652">
        <v>18</v>
      </c>
      <c r="B306" s="629" t="s">
        <v>1375</v>
      </c>
      <c r="C306" s="653">
        <f>C307+C309</f>
        <v>4705.54</v>
      </c>
      <c r="D306" s="653">
        <f>D307+D309</f>
        <v>4652.33</v>
      </c>
      <c r="E306" s="654">
        <f t="shared" si="27"/>
        <v>98.86920523468082</v>
      </c>
      <c r="F306" s="655">
        <f>D306/(C306/4*3)*100</f>
        <v>131.82560697957445</v>
      </c>
      <c r="G306" s="654">
        <f>SUM(C306-D306)</f>
        <v>53.210000000000036</v>
      </c>
      <c r="H306" s="660"/>
      <c r="I306" s="631" t="s">
        <v>880</v>
      </c>
    </row>
    <row r="307" spans="1:10" s="359" customFormat="1" x14ac:dyDescent="0.25">
      <c r="A307" s="353"/>
      <c r="B307" s="469" t="s">
        <v>615</v>
      </c>
      <c r="C307" s="494">
        <f>C308</f>
        <v>3637.1</v>
      </c>
      <c r="D307" s="494">
        <f>D308</f>
        <v>3583.89</v>
      </c>
      <c r="E307" s="356">
        <f t="shared" si="27"/>
        <v>98.537021253196215</v>
      </c>
      <c r="F307" s="356"/>
      <c r="G307" s="356">
        <f>SUM(C307-D307)</f>
        <v>53.210000000000036</v>
      </c>
      <c r="H307" s="463"/>
      <c r="I307" s="358"/>
    </row>
    <row r="308" spans="1:10" s="359" customFormat="1" ht="31.5" x14ac:dyDescent="0.25">
      <c r="A308" s="353"/>
      <c r="B308" s="400" t="s">
        <v>616</v>
      </c>
      <c r="C308" s="363">
        <v>3637.1</v>
      </c>
      <c r="D308" s="363">
        <v>3583.89</v>
      </c>
      <c r="E308" s="363">
        <f t="shared" si="27"/>
        <v>98.537021253196215</v>
      </c>
      <c r="F308" s="363"/>
      <c r="G308" s="363">
        <f>SUM(C308-D308)</f>
        <v>53.210000000000036</v>
      </c>
      <c r="H308" s="569" t="s">
        <v>1110</v>
      </c>
      <c r="I308" s="358"/>
    </row>
    <row r="309" spans="1:10" s="359" customFormat="1" ht="31.5" x14ac:dyDescent="0.25">
      <c r="A309" s="353"/>
      <c r="B309" s="469" t="s">
        <v>617</v>
      </c>
      <c r="C309" s="494">
        <f>C310</f>
        <v>1068.44</v>
      </c>
      <c r="D309" s="494">
        <f>D310</f>
        <v>1068.44</v>
      </c>
      <c r="E309" s="356">
        <f t="shared" si="27"/>
        <v>100</v>
      </c>
      <c r="F309" s="356"/>
      <c r="G309" s="356">
        <f>SUM(C309-D309)</f>
        <v>0</v>
      </c>
      <c r="H309" s="463"/>
      <c r="I309" s="358"/>
    </row>
    <row r="310" spans="1:10" s="359" customFormat="1" x14ac:dyDescent="0.25">
      <c r="A310" s="353"/>
      <c r="B310" s="400" t="s">
        <v>618</v>
      </c>
      <c r="C310" s="363">
        <v>1068.44</v>
      </c>
      <c r="D310" s="363">
        <v>1068.44</v>
      </c>
      <c r="E310" s="363">
        <f t="shared" si="27"/>
        <v>100</v>
      </c>
      <c r="F310" s="363"/>
      <c r="G310" s="363">
        <f>SUM(C310-D310)</f>
        <v>0</v>
      </c>
      <c r="H310" s="570"/>
      <c r="I310" s="358"/>
    </row>
    <row r="311" spans="1:10" s="624" customFormat="1" ht="31.5" x14ac:dyDescent="0.25">
      <c r="A311" s="652">
        <v>19</v>
      </c>
      <c r="B311" s="632" t="s">
        <v>1371</v>
      </c>
      <c r="C311" s="658">
        <v>0</v>
      </c>
      <c r="D311" s="658">
        <v>0</v>
      </c>
      <c r="E311" s="658">
        <v>0</v>
      </c>
      <c r="F311" s="655"/>
      <c r="G311" s="658">
        <v>0</v>
      </c>
      <c r="H311" s="660" t="s">
        <v>936</v>
      </c>
      <c r="I311" s="631" t="s">
        <v>1204</v>
      </c>
    </row>
    <row r="312" spans="1:10" s="624" customFormat="1" ht="31.5" x14ac:dyDescent="0.25">
      <c r="A312" s="652">
        <v>20</v>
      </c>
      <c r="B312" s="661" t="s">
        <v>1395</v>
      </c>
      <c r="C312" s="662">
        <f>C313</f>
        <v>2072.71</v>
      </c>
      <c r="D312" s="662">
        <f>D313</f>
        <v>2072.71</v>
      </c>
      <c r="E312" s="654">
        <f>SUM(D312/C312*100)</f>
        <v>100</v>
      </c>
      <c r="F312" s="655">
        <f>D312/(C312/4*3)*100</f>
        <v>133.33333333333331</v>
      </c>
      <c r="G312" s="654">
        <f t="shared" ref="G312:G376" si="28">SUM(C312-D312)</f>
        <v>0</v>
      </c>
      <c r="H312" s="660"/>
      <c r="I312" s="631" t="s">
        <v>822</v>
      </c>
      <c r="J312" s="624" t="s">
        <v>1368</v>
      </c>
    </row>
    <row r="313" spans="1:10" x14ac:dyDescent="0.25">
      <c r="A313" s="316"/>
      <c r="B313" s="235" t="s">
        <v>881</v>
      </c>
      <c r="C313" s="289">
        <f>SUM(C314)</f>
        <v>2072.71</v>
      </c>
      <c r="D313" s="289">
        <f>SUM(D314)</f>
        <v>2072.71</v>
      </c>
      <c r="E313" s="289">
        <f>SUM(D313/C313*100)</f>
        <v>100</v>
      </c>
      <c r="F313" s="289"/>
      <c r="G313" s="290">
        <f t="shared" si="28"/>
        <v>0</v>
      </c>
      <c r="H313" s="299"/>
      <c r="I313" s="234"/>
    </row>
    <row r="314" spans="1:10" x14ac:dyDescent="0.25">
      <c r="A314" s="316"/>
      <c r="B314" s="237" t="s">
        <v>762</v>
      </c>
      <c r="C314" s="295">
        <f>SUM(C315)</f>
        <v>2072.71</v>
      </c>
      <c r="D314" s="295">
        <f>SUM(D315)</f>
        <v>2072.71</v>
      </c>
      <c r="E314" s="295">
        <f>SUM(D314/C314*100)</f>
        <v>100</v>
      </c>
      <c r="F314" s="295"/>
      <c r="G314" s="296">
        <f t="shared" si="28"/>
        <v>0</v>
      </c>
      <c r="H314" s="299"/>
      <c r="I314" s="234"/>
    </row>
    <row r="315" spans="1:10" ht="100.5" customHeight="1" x14ac:dyDescent="0.25">
      <c r="A315" s="316"/>
      <c r="B315" s="393" t="s">
        <v>764</v>
      </c>
      <c r="C315" s="297">
        <v>2072.71</v>
      </c>
      <c r="D315" s="297">
        <v>2072.71</v>
      </c>
      <c r="E315" s="291">
        <f>SUM(D315/C315*100)</f>
        <v>100</v>
      </c>
      <c r="F315" s="291"/>
      <c r="G315" s="292">
        <f t="shared" si="28"/>
        <v>0</v>
      </c>
      <c r="H315" s="393" t="s">
        <v>1368</v>
      </c>
      <c r="I315" s="234"/>
    </row>
    <row r="316" spans="1:10" s="624" customFormat="1" ht="31.5" x14ac:dyDescent="0.25">
      <c r="A316" s="652">
        <v>21</v>
      </c>
      <c r="B316" s="629" t="s">
        <v>1391</v>
      </c>
      <c r="C316" s="653">
        <f>C317+C321+C341+C360+C364+C369</f>
        <v>495318.99257000006</v>
      </c>
      <c r="D316" s="653">
        <f>D317+D321+D341+D360+D364+D369</f>
        <v>488653.70528000005</v>
      </c>
      <c r="E316" s="654">
        <f t="shared" ref="E316:E379" si="29">SUM(D316/C316*100)</f>
        <v>98.654344495167308</v>
      </c>
      <c r="F316" s="655">
        <f>D316/(C316/4*3)*100</f>
        <v>131.53912599355641</v>
      </c>
      <c r="G316" s="654">
        <f t="shared" si="28"/>
        <v>6665.2872900000075</v>
      </c>
      <c r="H316" s="656"/>
      <c r="I316" s="631" t="s">
        <v>882</v>
      </c>
    </row>
    <row r="317" spans="1:10" x14ac:dyDescent="0.25">
      <c r="A317" s="316"/>
      <c r="B317" s="239" t="s">
        <v>662</v>
      </c>
      <c r="C317" s="293">
        <f>SUM(C318:C320)</f>
        <v>26726.200359999999</v>
      </c>
      <c r="D317" s="417">
        <f>SUM(D318:D320)</f>
        <v>25573.64084</v>
      </c>
      <c r="E317" s="289">
        <f>SUM(D317/C317*100)</f>
        <v>95.687529448724078</v>
      </c>
      <c r="F317" s="289"/>
      <c r="G317" s="290">
        <f t="shared" si="28"/>
        <v>1152.5595199999989</v>
      </c>
      <c r="H317" s="299"/>
      <c r="I317" s="234"/>
    </row>
    <row r="318" spans="1:10" ht="31.5" x14ac:dyDescent="0.25">
      <c r="A318" s="316"/>
      <c r="B318" s="390" t="s">
        <v>663</v>
      </c>
      <c r="C318" s="420">
        <v>26525.40436</v>
      </c>
      <c r="D318" s="420">
        <v>25372.840840000001</v>
      </c>
      <c r="E318" s="291">
        <f t="shared" si="29"/>
        <v>95.654869179909468</v>
      </c>
      <c r="F318" s="291"/>
      <c r="G318" s="292">
        <f t="shared" si="28"/>
        <v>1152.5635199999997</v>
      </c>
      <c r="H318" s="395" t="s">
        <v>1132</v>
      </c>
      <c r="I318" s="234"/>
    </row>
    <row r="319" spans="1:10" ht="47.25" x14ac:dyDescent="0.25">
      <c r="A319" s="316"/>
      <c r="B319" s="390" t="s">
        <v>664</v>
      </c>
      <c r="C319" s="420">
        <v>100.79599999999999</v>
      </c>
      <c r="D319" s="413">
        <v>100.8</v>
      </c>
      <c r="E319" s="291">
        <f t="shared" si="29"/>
        <v>100.0039684114449</v>
      </c>
      <c r="F319" s="291"/>
      <c r="G319" s="292">
        <f t="shared" si="28"/>
        <v>-4.0000000000048885E-3</v>
      </c>
      <c r="H319" s="395" t="s">
        <v>1133</v>
      </c>
      <c r="I319" s="234"/>
    </row>
    <row r="320" spans="1:10" s="406" customFormat="1" x14ac:dyDescent="0.25">
      <c r="A320" s="316"/>
      <c r="B320" s="390" t="s">
        <v>665</v>
      </c>
      <c r="C320" s="420">
        <v>100</v>
      </c>
      <c r="D320" s="413">
        <v>100</v>
      </c>
      <c r="E320" s="412">
        <f>SUM(D320/C320*100)</f>
        <v>100</v>
      </c>
      <c r="F320" s="412"/>
      <c r="G320" s="413">
        <f>SUM(C320-D320)</f>
        <v>0</v>
      </c>
      <c r="H320" s="395"/>
      <c r="I320" s="411"/>
    </row>
    <row r="321" spans="1:9" x14ac:dyDescent="0.25">
      <c r="A321" s="316"/>
      <c r="B321" s="239" t="s">
        <v>666</v>
      </c>
      <c r="C321" s="293">
        <f>C322+C328+C339</f>
        <v>337234.97889000003</v>
      </c>
      <c r="D321" s="293">
        <f>D322+D328+D339</f>
        <v>336391.23664000002</v>
      </c>
      <c r="E321" s="289">
        <f t="shared" si="29"/>
        <v>99.749805831892886</v>
      </c>
      <c r="F321" s="289"/>
      <c r="G321" s="290">
        <f t="shared" si="28"/>
        <v>843.74225000001024</v>
      </c>
      <c r="H321" s="299"/>
      <c r="I321" s="234"/>
    </row>
    <row r="322" spans="1:9" ht="47.25" x14ac:dyDescent="0.25">
      <c r="A322" s="316"/>
      <c r="B322" s="239" t="s">
        <v>667</v>
      </c>
      <c r="C322" s="293">
        <f>SUM(C323:C327)</f>
        <v>143506.36471000002</v>
      </c>
      <c r="D322" s="293">
        <f>SUM(D323:D327)</f>
        <v>142714.56057000003</v>
      </c>
      <c r="E322" s="289">
        <f t="shared" si="29"/>
        <v>99.448244583715791</v>
      </c>
      <c r="F322" s="289"/>
      <c r="G322" s="290">
        <f t="shared" si="28"/>
        <v>791.80413999999291</v>
      </c>
      <c r="H322" s="299"/>
      <c r="I322" s="234"/>
    </row>
    <row r="323" spans="1:9" ht="47.25" x14ac:dyDescent="0.25">
      <c r="A323" s="316"/>
      <c r="B323" s="390" t="s">
        <v>663</v>
      </c>
      <c r="C323" s="420">
        <v>141302.38750000001</v>
      </c>
      <c r="D323" s="420">
        <v>140510.58336000002</v>
      </c>
      <c r="E323" s="291">
        <f t="shared" si="29"/>
        <v>99.439638526985263</v>
      </c>
      <c r="F323" s="291"/>
      <c r="G323" s="292">
        <f t="shared" si="28"/>
        <v>791.80413999999291</v>
      </c>
      <c r="H323" s="395" t="s">
        <v>1138</v>
      </c>
      <c r="I323" s="234"/>
    </row>
    <row r="324" spans="1:9" x14ac:dyDescent="0.25">
      <c r="A324" s="316"/>
      <c r="B324" s="390" t="s">
        <v>668</v>
      </c>
      <c r="C324" s="420">
        <v>2053.8366299999998</v>
      </c>
      <c r="D324" s="420">
        <v>2053.8366299999998</v>
      </c>
      <c r="E324" s="291">
        <f t="shared" si="29"/>
        <v>100</v>
      </c>
      <c r="F324" s="291"/>
      <c r="G324" s="292">
        <f t="shared" si="28"/>
        <v>0</v>
      </c>
      <c r="H324" s="395"/>
      <c r="I324" s="234"/>
    </row>
    <row r="325" spans="1:9" ht="47.25" x14ac:dyDescent="0.25">
      <c r="A325" s="316"/>
      <c r="B325" s="390" t="s">
        <v>669</v>
      </c>
      <c r="C325" s="420">
        <v>14.37486</v>
      </c>
      <c r="D325" s="420">
        <v>14.37486</v>
      </c>
      <c r="E325" s="291">
        <f t="shared" si="29"/>
        <v>100</v>
      </c>
      <c r="F325" s="291"/>
      <c r="G325" s="292">
        <f t="shared" si="28"/>
        <v>0</v>
      </c>
      <c r="H325" s="388" t="s">
        <v>979</v>
      </c>
      <c r="I325" s="234"/>
    </row>
    <row r="326" spans="1:9" ht="31.5" x14ac:dyDescent="0.25">
      <c r="A326" s="316"/>
      <c r="B326" s="390" t="s">
        <v>670</v>
      </c>
      <c r="C326" s="420">
        <v>109.54572</v>
      </c>
      <c r="D326" s="420">
        <v>109.54572</v>
      </c>
      <c r="E326" s="291">
        <f t="shared" si="29"/>
        <v>100</v>
      </c>
      <c r="F326" s="291"/>
      <c r="G326" s="292">
        <f t="shared" si="28"/>
        <v>0</v>
      </c>
      <c r="H326" s="388" t="s">
        <v>1139</v>
      </c>
      <c r="I326" s="234"/>
    </row>
    <row r="327" spans="1:9" ht="31.5" x14ac:dyDescent="0.25">
      <c r="A327" s="316"/>
      <c r="B327" s="390" t="s">
        <v>671</v>
      </c>
      <c r="C327" s="420">
        <v>26.22</v>
      </c>
      <c r="D327" s="420">
        <v>26.22</v>
      </c>
      <c r="E327" s="291">
        <f t="shared" si="29"/>
        <v>100</v>
      </c>
      <c r="F327" s="291"/>
      <c r="G327" s="292">
        <f t="shared" si="28"/>
        <v>0</v>
      </c>
      <c r="H327" s="410" t="s">
        <v>980</v>
      </c>
      <c r="I327" s="234"/>
    </row>
    <row r="328" spans="1:9" ht="47.25" x14ac:dyDescent="0.25">
      <c r="A328" s="316"/>
      <c r="B328" s="239" t="s">
        <v>674</v>
      </c>
      <c r="C328" s="293">
        <f>SUM(C329:C338)</f>
        <v>193128.61417999998</v>
      </c>
      <c r="D328" s="293">
        <f>SUM(D329:D338)</f>
        <v>193076.67606999999</v>
      </c>
      <c r="E328" s="289">
        <f t="shared" si="29"/>
        <v>99.97310698354022</v>
      </c>
      <c r="F328" s="289"/>
      <c r="G328" s="290">
        <f t="shared" si="28"/>
        <v>51.938109999988228</v>
      </c>
      <c r="H328" s="299"/>
      <c r="I328" s="234"/>
    </row>
    <row r="329" spans="1:9" ht="31.5" x14ac:dyDescent="0.25">
      <c r="A329" s="316"/>
      <c r="B329" s="179" t="s">
        <v>663</v>
      </c>
      <c r="C329" s="294">
        <v>188366.83093999999</v>
      </c>
      <c r="D329" s="294">
        <v>188366.83093999999</v>
      </c>
      <c r="E329" s="291">
        <f t="shared" si="29"/>
        <v>100</v>
      </c>
      <c r="F329" s="291"/>
      <c r="G329" s="292">
        <f t="shared" si="28"/>
        <v>0</v>
      </c>
      <c r="H329" s="410"/>
      <c r="I329" s="234"/>
    </row>
    <row r="330" spans="1:9" x14ac:dyDescent="0.25">
      <c r="A330" s="316"/>
      <c r="B330" s="179" t="s">
        <v>668</v>
      </c>
      <c r="C330" s="294">
        <v>3427.3568</v>
      </c>
      <c r="D330" s="294">
        <v>3427.3568</v>
      </c>
      <c r="E330" s="291">
        <f t="shared" si="29"/>
        <v>100</v>
      </c>
      <c r="F330" s="291"/>
      <c r="G330" s="292">
        <f t="shared" si="28"/>
        <v>0</v>
      </c>
      <c r="H330" s="395" t="s">
        <v>784</v>
      </c>
      <c r="I330" s="234"/>
    </row>
    <row r="331" spans="1:9" ht="31.5" x14ac:dyDescent="0.25">
      <c r="A331" s="316"/>
      <c r="B331" s="179" t="s">
        <v>671</v>
      </c>
      <c r="C331" s="294">
        <v>255.10599999999999</v>
      </c>
      <c r="D331" s="294">
        <v>255.10599999999999</v>
      </c>
      <c r="E331" s="291">
        <f t="shared" si="29"/>
        <v>100</v>
      </c>
      <c r="F331" s="291"/>
      <c r="G331" s="292">
        <f t="shared" si="28"/>
        <v>0</v>
      </c>
      <c r="H331" s="388" t="s">
        <v>981</v>
      </c>
      <c r="I331" s="234"/>
    </row>
    <row r="332" spans="1:9" ht="63" x14ac:dyDescent="0.25">
      <c r="A332" s="316"/>
      <c r="B332" s="179" t="s">
        <v>669</v>
      </c>
      <c r="C332" s="294">
        <v>68.025300000000001</v>
      </c>
      <c r="D332" s="294">
        <v>68.025300000000001</v>
      </c>
      <c r="E332" s="291">
        <f t="shared" si="29"/>
        <v>100</v>
      </c>
      <c r="F332" s="291"/>
      <c r="G332" s="292">
        <f t="shared" si="28"/>
        <v>0</v>
      </c>
      <c r="H332" s="388" t="s">
        <v>982</v>
      </c>
      <c r="I332" s="234"/>
    </row>
    <row r="333" spans="1:9" x14ac:dyDescent="0.25">
      <c r="A333" s="316"/>
      <c r="B333" s="179" t="s">
        <v>670</v>
      </c>
      <c r="C333" s="294">
        <v>634.98414000000002</v>
      </c>
      <c r="D333" s="294">
        <v>634.98414000000002</v>
      </c>
      <c r="E333" s="291">
        <f t="shared" si="29"/>
        <v>100</v>
      </c>
      <c r="F333" s="291"/>
      <c r="G333" s="292">
        <f t="shared" si="28"/>
        <v>0</v>
      </c>
      <c r="H333" s="410" t="s">
        <v>784</v>
      </c>
      <c r="I333" s="234"/>
    </row>
    <row r="334" spans="1:9" ht="47.25" x14ac:dyDescent="0.25">
      <c r="A334" s="316"/>
      <c r="B334" s="179" t="s">
        <v>678</v>
      </c>
      <c r="C334" s="294">
        <v>222.56100000000001</v>
      </c>
      <c r="D334" s="294">
        <v>170.62289000000001</v>
      </c>
      <c r="E334" s="291">
        <f t="shared" si="29"/>
        <v>76.663427105377863</v>
      </c>
      <c r="F334" s="291"/>
      <c r="G334" s="292">
        <f t="shared" si="28"/>
        <v>51.938109999999995</v>
      </c>
      <c r="H334" s="395" t="s">
        <v>1134</v>
      </c>
      <c r="I334" s="234"/>
    </row>
    <row r="335" spans="1:9" ht="31.5" x14ac:dyDescent="0.25">
      <c r="A335" s="316"/>
      <c r="B335" s="179" t="s">
        <v>679</v>
      </c>
      <c r="C335" s="294">
        <v>38.75</v>
      </c>
      <c r="D335" s="292">
        <v>38.75</v>
      </c>
      <c r="E335" s="291">
        <f t="shared" si="29"/>
        <v>100</v>
      </c>
      <c r="F335" s="291"/>
      <c r="G335" s="292">
        <f t="shared" si="28"/>
        <v>0</v>
      </c>
      <c r="H335" s="388" t="s">
        <v>983</v>
      </c>
      <c r="I335" s="234"/>
    </row>
    <row r="336" spans="1:9" ht="31.5" x14ac:dyDescent="0.25">
      <c r="A336" s="316"/>
      <c r="B336" s="179" t="s">
        <v>680</v>
      </c>
      <c r="C336" s="294">
        <v>60</v>
      </c>
      <c r="D336" s="294">
        <v>60</v>
      </c>
      <c r="E336" s="291">
        <f t="shared" si="29"/>
        <v>100</v>
      </c>
      <c r="F336" s="291"/>
      <c r="G336" s="292">
        <f t="shared" si="28"/>
        <v>0</v>
      </c>
      <c r="H336" s="388" t="s">
        <v>1135</v>
      </c>
      <c r="I336" s="234"/>
    </row>
    <row r="337" spans="1:9" ht="47.25" x14ac:dyDescent="0.25">
      <c r="A337" s="316"/>
      <c r="B337" s="179" t="s">
        <v>681</v>
      </c>
      <c r="C337" s="294">
        <v>30</v>
      </c>
      <c r="D337" s="292">
        <v>30</v>
      </c>
      <c r="E337" s="291">
        <f t="shared" si="29"/>
        <v>100</v>
      </c>
      <c r="F337" s="291"/>
      <c r="G337" s="292">
        <f t="shared" si="28"/>
        <v>0</v>
      </c>
      <c r="H337" s="388" t="s">
        <v>1136</v>
      </c>
      <c r="I337" s="234"/>
    </row>
    <row r="338" spans="1:9" x14ac:dyDescent="0.25">
      <c r="A338" s="316"/>
      <c r="B338" s="179" t="s">
        <v>682</v>
      </c>
      <c r="C338" s="294">
        <v>25</v>
      </c>
      <c r="D338" s="292">
        <v>25</v>
      </c>
      <c r="E338" s="412">
        <f t="shared" si="29"/>
        <v>100</v>
      </c>
      <c r="F338" s="291"/>
      <c r="G338" s="292">
        <f t="shared" si="28"/>
        <v>0</v>
      </c>
      <c r="H338" s="410" t="s">
        <v>1137</v>
      </c>
      <c r="I338" s="234"/>
    </row>
    <row r="339" spans="1:9" s="266" customFormat="1" ht="31.5" x14ac:dyDescent="0.25">
      <c r="A339" s="370"/>
      <c r="B339" s="424" t="s">
        <v>683</v>
      </c>
      <c r="C339" s="417">
        <f>SUM(C340)</f>
        <v>600</v>
      </c>
      <c r="D339" s="417">
        <f>SUM(D340)</f>
        <v>600</v>
      </c>
      <c r="E339" s="408">
        <f t="shared" si="29"/>
        <v>100</v>
      </c>
      <c r="F339" s="408"/>
      <c r="G339" s="409">
        <f t="shared" si="28"/>
        <v>0</v>
      </c>
      <c r="H339" s="371"/>
      <c r="I339" s="396"/>
    </row>
    <row r="340" spans="1:9" ht="47.25" x14ac:dyDescent="0.25">
      <c r="A340" s="316"/>
      <c r="B340" s="425" t="s">
        <v>684</v>
      </c>
      <c r="C340" s="420">
        <v>600</v>
      </c>
      <c r="D340" s="413">
        <v>600</v>
      </c>
      <c r="E340" s="412">
        <f t="shared" si="29"/>
        <v>100</v>
      </c>
      <c r="F340" s="412"/>
      <c r="G340" s="413">
        <v>0</v>
      </c>
      <c r="H340" s="388" t="s">
        <v>984</v>
      </c>
      <c r="I340" s="234"/>
    </row>
    <row r="341" spans="1:9" x14ac:dyDescent="0.25">
      <c r="A341" s="316"/>
      <c r="B341" s="385" t="s">
        <v>685</v>
      </c>
      <c r="C341" s="383">
        <f>C342+C347</f>
        <v>79370.552570000014</v>
      </c>
      <c r="D341" s="383">
        <f>D342+D347</f>
        <v>79370.552570000014</v>
      </c>
      <c r="E341" s="408">
        <f t="shared" si="29"/>
        <v>100</v>
      </c>
      <c r="F341" s="408"/>
      <c r="G341" s="409">
        <f t="shared" si="28"/>
        <v>0</v>
      </c>
      <c r="H341" s="299"/>
      <c r="I341" s="234"/>
    </row>
    <row r="342" spans="1:9" x14ac:dyDescent="0.25">
      <c r="A342" s="316"/>
      <c r="B342" s="385" t="s">
        <v>686</v>
      </c>
      <c r="C342" s="383">
        <f>SUM(C343:C346)</f>
        <v>78001.380570000008</v>
      </c>
      <c r="D342" s="383">
        <f>SUM(D343:D346)</f>
        <v>78001.380570000008</v>
      </c>
      <c r="E342" s="408">
        <f t="shared" si="29"/>
        <v>100</v>
      </c>
      <c r="F342" s="408"/>
      <c r="G342" s="409">
        <f t="shared" si="28"/>
        <v>0</v>
      </c>
      <c r="H342" s="299"/>
      <c r="I342" s="234"/>
    </row>
    <row r="343" spans="1:9" ht="31.5" x14ac:dyDescent="0.25">
      <c r="A343" s="316"/>
      <c r="B343" s="379" t="s">
        <v>663</v>
      </c>
      <c r="C343" s="384">
        <v>77367.723840000006</v>
      </c>
      <c r="D343" s="381">
        <v>77367.723840000006</v>
      </c>
      <c r="E343" s="412">
        <f t="shared" si="29"/>
        <v>100</v>
      </c>
      <c r="F343" s="291"/>
      <c r="G343" s="292">
        <v>0</v>
      </c>
      <c r="H343" s="299" t="s">
        <v>784</v>
      </c>
      <c r="I343" s="234"/>
    </row>
    <row r="344" spans="1:9" x14ac:dyDescent="0.25">
      <c r="A344" s="316"/>
      <c r="B344" s="379" t="s">
        <v>668</v>
      </c>
      <c r="C344" s="384">
        <v>460.38</v>
      </c>
      <c r="D344" s="381">
        <v>460.38</v>
      </c>
      <c r="E344" s="412">
        <f t="shared" si="29"/>
        <v>100</v>
      </c>
      <c r="F344" s="291"/>
      <c r="G344" s="292">
        <v>0</v>
      </c>
      <c r="H344" s="202" t="s">
        <v>784</v>
      </c>
      <c r="I344" s="234"/>
    </row>
    <row r="345" spans="1:9" ht="31.5" x14ac:dyDescent="0.25">
      <c r="A345" s="316"/>
      <c r="B345" s="379" t="s">
        <v>671</v>
      </c>
      <c r="C345" s="384">
        <v>23.48</v>
      </c>
      <c r="D345" s="381">
        <v>23.48</v>
      </c>
      <c r="E345" s="412">
        <f t="shared" si="29"/>
        <v>100</v>
      </c>
      <c r="F345" s="291"/>
      <c r="G345" s="292">
        <v>0</v>
      </c>
      <c r="H345" s="388" t="s">
        <v>981</v>
      </c>
      <c r="I345" s="234"/>
    </row>
    <row r="346" spans="1:9" x14ac:dyDescent="0.25">
      <c r="A346" s="316"/>
      <c r="B346" s="379" t="s">
        <v>687</v>
      </c>
      <c r="C346" s="384">
        <v>149.79673</v>
      </c>
      <c r="D346" s="381">
        <v>149.79673</v>
      </c>
      <c r="E346" s="412">
        <f t="shared" si="29"/>
        <v>100</v>
      </c>
      <c r="F346" s="291"/>
      <c r="G346" s="292">
        <v>0</v>
      </c>
      <c r="H346" s="19" t="s">
        <v>1140</v>
      </c>
      <c r="I346" s="234"/>
    </row>
    <row r="347" spans="1:9" ht="31.5" x14ac:dyDescent="0.25">
      <c r="A347" s="316"/>
      <c r="B347" s="385" t="s">
        <v>688</v>
      </c>
      <c r="C347" s="383">
        <f>SUM(C348:C359)</f>
        <v>1369.172</v>
      </c>
      <c r="D347" s="383">
        <f>SUM(D348:D359)</f>
        <v>1369.172</v>
      </c>
      <c r="E347" s="289">
        <f t="shared" si="29"/>
        <v>100</v>
      </c>
      <c r="F347" s="289"/>
      <c r="G347" s="290">
        <f t="shared" si="28"/>
        <v>0</v>
      </c>
      <c r="H347" s="299"/>
      <c r="I347" s="234"/>
    </row>
    <row r="348" spans="1:9" ht="47.25" x14ac:dyDescent="0.25">
      <c r="A348" s="316"/>
      <c r="B348" s="390" t="s">
        <v>689</v>
      </c>
      <c r="C348" s="420">
        <v>101.25</v>
      </c>
      <c r="D348" s="413">
        <v>101.25</v>
      </c>
      <c r="E348" s="412">
        <f t="shared" si="29"/>
        <v>100</v>
      </c>
      <c r="F348" s="412"/>
      <c r="G348" s="413">
        <v>0</v>
      </c>
      <c r="H348" s="393" t="s">
        <v>883</v>
      </c>
      <c r="I348" s="234"/>
    </row>
    <row r="349" spans="1:9" ht="63" x14ac:dyDescent="0.25">
      <c r="A349" s="316"/>
      <c r="B349" s="390" t="s">
        <v>690</v>
      </c>
      <c r="C349" s="420">
        <v>30.5</v>
      </c>
      <c r="D349" s="413">
        <v>30.5</v>
      </c>
      <c r="E349" s="412">
        <f t="shared" si="29"/>
        <v>100</v>
      </c>
      <c r="F349" s="412"/>
      <c r="G349" s="413">
        <v>0</v>
      </c>
      <c r="H349" s="398" t="s">
        <v>985</v>
      </c>
      <c r="I349" s="234"/>
    </row>
    <row r="350" spans="1:9" ht="63" x14ac:dyDescent="0.25">
      <c r="A350" s="316"/>
      <c r="B350" s="390" t="s">
        <v>691</v>
      </c>
      <c r="C350" s="420">
        <v>70</v>
      </c>
      <c r="D350" s="413">
        <v>70</v>
      </c>
      <c r="E350" s="412">
        <f t="shared" si="29"/>
        <v>100</v>
      </c>
      <c r="F350" s="412"/>
      <c r="G350" s="413">
        <v>0</v>
      </c>
      <c r="H350" s="426" t="s">
        <v>1141</v>
      </c>
      <c r="I350" s="234"/>
    </row>
    <row r="351" spans="1:9" x14ac:dyDescent="0.25">
      <c r="A351" s="316"/>
      <c r="B351" s="390" t="s">
        <v>692</v>
      </c>
      <c r="C351" s="420">
        <v>20</v>
      </c>
      <c r="D351" s="413">
        <v>20</v>
      </c>
      <c r="E351" s="412">
        <f t="shared" si="29"/>
        <v>100</v>
      </c>
      <c r="F351" s="412"/>
      <c r="G351" s="413">
        <v>0</v>
      </c>
      <c r="H351" s="397" t="s">
        <v>784</v>
      </c>
      <c r="I351" s="234"/>
    </row>
    <row r="352" spans="1:9" ht="63" x14ac:dyDescent="0.25">
      <c r="A352" s="316"/>
      <c r="B352" s="390" t="s">
        <v>693</v>
      </c>
      <c r="C352" s="420">
        <v>30</v>
      </c>
      <c r="D352" s="413">
        <v>30</v>
      </c>
      <c r="E352" s="412">
        <f t="shared" si="29"/>
        <v>100</v>
      </c>
      <c r="F352" s="412"/>
      <c r="G352" s="413">
        <v>0</v>
      </c>
      <c r="H352" s="398" t="s">
        <v>1142</v>
      </c>
      <c r="I352" s="234"/>
    </row>
    <row r="353" spans="1:9" ht="47.25" x14ac:dyDescent="0.25">
      <c r="A353" s="316"/>
      <c r="B353" s="391" t="s">
        <v>694</v>
      </c>
      <c r="C353" s="420">
        <v>189.5</v>
      </c>
      <c r="D353" s="413">
        <v>189.5</v>
      </c>
      <c r="E353" s="412">
        <f t="shared" si="29"/>
        <v>100</v>
      </c>
      <c r="F353" s="412"/>
      <c r="G353" s="413">
        <v>0</v>
      </c>
      <c r="H353" s="393" t="s">
        <v>1143</v>
      </c>
      <c r="I353" s="234"/>
    </row>
    <row r="354" spans="1:9" x14ac:dyDescent="0.25">
      <c r="A354" s="316"/>
      <c r="B354" s="390" t="s">
        <v>695</v>
      </c>
      <c r="C354" s="420">
        <v>100</v>
      </c>
      <c r="D354" s="413">
        <v>100</v>
      </c>
      <c r="E354" s="412">
        <f t="shared" si="29"/>
        <v>100</v>
      </c>
      <c r="F354" s="412"/>
      <c r="G354" s="413">
        <v>0</v>
      </c>
      <c r="H354" s="397" t="s">
        <v>1144</v>
      </c>
      <c r="I354" s="234"/>
    </row>
    <row r="355" spans="1:9" ht="134.25" customHeight="1" x14ac:dyDescent="0.25">
      <c r="A355" s="316"/>
      <c r="B355" s="390" t="s">
        <v>696</v>
      </c>
      <c r="C355" s="420">
        <v>250</v>
      </c>
      <c r="D355" s="413">
        <v>250</v>
      </c>
      <c r="E355" s="412">
        <f t="shared" si="29"/>
        <v>100</v>
      </c>
      <c r="F355" s="412"/>
      <c r="G355" s="413">
        <v>0</v>
      </c>
      <c r="H355" s="426" t="s">
        <v>1145</v>
      </c>
      <c r="I355" s="234"/>
    </row>
    <row r="356" spans="1:9" ht="31.5" x14ac:dyDescent="0.25">
      <c r="A356" s="316"/>
      <c r="B356" s="391" t="s">
        <v>697</v>
      </c>
      <c r="C356" s="420">
        <v>60</v>
      </c>
      <c r="D356" s="413">
        <v>60</v>
      </c>
      <c r="E356" s="412">
        <f t="shared" si="29"/>
        <v>100</v>
      </c>
      <c r="F356" s="412"/>
      <c r="G356" s="413">
        <v>0</v>
      </c>
      <c r="H356" s="393" t="s">
        <v>1146</v>
      </c>
      <c r="I356" s="234"/>
    </row>
    <row r="357" spans="1:9" ht="31.5" x14ac:dyDescent="0.25">
      <c r="A357" s="316"/>
      <c r="B357" s="391" t="s">
        <v>698</v>
      </c>
      <c r="C357" s="420">
        <v>20</v>
      </c>
      <c r="D357" s="420">
        <v>20</v>
      </c>
      <c r="E357" s="412">
        <f t="shared" si="29"/>
        <v>100</v>
      </c>
      <c r="F357" s="412"/>
      <c r="G357" s="413">
        <v>0</v>
      </c>
      <c r="H357" s="393" t="s">
        <v>986</v>
      </c>
      <c r="I357" s="234"/>
    </row>
    <row r="358" spans="1:9" x14ac:dyDescent="0.25">
      <c r="A358" s="316"/>
      <c r="B358" s="391" t="s">
        <v>699</v>
      </c>
      <c r="C358" s="420">
        <v>20</v>
      </c>
      <c r="D358" s="420">
        <v>20</v>
      </c>
      <c r="E358" s="412">
        <f t="shared" si="29"/>
        <v>100</v>
      </c>
      <c r="F358" s="412"/>
      <c r="G358" s="413">
        <v>0</v>
      </c>
      <c r="H358" s="410" t="s">
        <v>987</v>
      </c>
      <c r="I358" s="234"/>
    </row>
    <row r="359" spans="1:9" ht="31.5" x14ac:dyDescent="0.25">
      <c r="A359" s="316"/>
      <c r="B359" s="391" t="s">
        <v>700</v>
      </c>
      <c r="C359" s="420">
        <v>477.92200000000003</v>
      </c>
      <c r="D359" s="413">
        <v>477.92200000000003</v>
      </c>
      <c r="E359" s="412">
        <f t="shared" si="29"/>
        <v>100</v>
      </c>
      <c r="F359" s="412"/>
      <c r="G359" s="413">
        <v>0</v>
      </c>
      <c r="H359" s="427" t="s">
        <v>1147</v>
      </c>
      <c r="I359" s="234"/>
    </row>
    <row r="360" spans="1:9" x14ac:dyDescent="0.25">
      <c r="A360" s="316"/>
      <c r="B360" s="385" t="s">
        <v>701</v>
      </c>
      <c r="C360" s="383">
        <f>C361</f>
        <v>790.54700000000003</v>
      </c>
      <c r="D360" s="383">
        <f>D361</f>
        <v>790.54700000000003</v>
      </c>
      <c r="E360" s="408">
        <f t="shared" si="29"/>
        <v>100</v>
      </c>
      <c r="F360" s="291"/>
      <c r="G360" s="292">
        <f t="shared" si="28"/>
        <v>0</v>
      </c>
      <c r="H360" s="299"/>
      <c r="I360" s="234"/>
    </row>
    <row r="361" spans="1:9" ht="31.5" x14ac:dyDescent="0.25">
      <c r="A361" s="316"/>
      <c r="B361" s="385" t="s">
        <v>702</v>
      </c>
      <c r="C361" s="383">
        <f>SUM(C362:C363)</f>
        <v>790.54700000000003</v>
      </c>
      <c r="D361" s="383">
        <f>SUM(D362:D363)</f>
        <v>790.54700000000003</v>
      </c>
      <c r="E361" s="408">
        <f t="shared" si="29"/>
        <v>100</v>
      </c>
      <c r="F361" s="291"/>
      <c r="G361" s="292">
        <f t="shared" si="28"/>
        <v>0</v>
      </c>
      <c r="H361" s="299"/>
      <c r="I361" s="234"/>
    </row>
    <row r="362" spans="1:9" ht="31.5" x14ac:dyDescent="0.25">
      <c r="A362" s="316"/>
      <c r="B362" s="379" t="s">
        <v>1130</v>
      </c>
      <c r="C362" s="384">
        <v>207.97900000000001</v>
      </c>
      <c r="D362" s="381">
        <v>207.97900000000001</v>
      </c>
      <c r="E362" s="412">
        <f t="shared" si="29"/>
        <v>100</v>
      </c>
      <c r="F362" s="291"/>
      <c r="G362" s="292">
        <v>0</v>
      </c>
      <c r="H362" s="19" t="s">
        <v>1148</v>
      </c>
      <c r="I362" s="234"/>
    </row>
    <row r="363" spans="1:9" ht="100.5" customHeight="1" x14ac:dyDescent="0.25">
      <c r="A363" s="316"/>
      <c r="B363" s="386" t="s">
        <v>703</v>
      </c>
      <c r="C363" s="384">
        <v>582.56799999999998</v>
      </c>
      <c r="D363" s="381">
        <v>582.56799999999998</v>
      </c>
      <c r="E363" s="412">
        <f t="shared" si="29"/>
        <v>100</v>
      </c>
      <c r="F363" s="291"/>
      <c r="G363" s="292">
        <v>0</v>
      </c>
      <c r="H363" s="19" t="s">
        <v>1149</v>
      </c>
      <c r="I363" s="234"/>
    </row>
    <row r="364" spans="1:9" x14ac:dyDescent="0.25">
      <c r="A364" s="316"/>
      <c r="B364" s="385" t="s">
        <v>708</v>
      </c>
      <c r="C364" s="383">
        <f>C365+C367</f>
        <v>2621.78089</v>
      </c>
      <c r="D364" s="383">
        <f>D365+D367</f>
        <v>2621.78089</v>
      </c>
      <c r="E364" s="408">
        <f t="shared" si="29"/>
        <v>100</v>
      </c>
      <c r="F364" s="291"/>
      <c r="G364" s="292">
        <f t="shared" si="28"/>
        <v>0</v>
      </c>
      <c r="H364" s="299"/>
      <c r="I364" s="234"/>
    </row>
    <row r="365" spans="1:9" ht="31.5" x14ac:dyDescent="0.25">
      <c r="A365" s="316"/>
      <c r="B365" s="385" t="s">
        <v>709</v>
      </c>
      <c r="C365" s="383">
        <f>SUM(C366:C366)</f>
        <v>2421.78089</v>
      </c>
      <c r="D365" s="383">
        <f>SUM(D366:D366)</f>
        <v>2421.78089</v>
      </c>
      <c r="E365" s="408">
        <f t="shared" si="29"/>
        <v>100</v>
      </c>
      <c r="F365" s="291"/>
      <c r="G365" s="292">
        <f t="shared" si="28"/>
        <v>0</v>
      </c>
      <c r="H365" s="299"/>
      <c r="I365" s="234"/>
    </row>
    <row r="366" spans="1:9" ht="63" x14ac:dyDescent="0.25">
      <c r="A366" s="316"/>
      <c r="B366" s="379" t="s">
        <v>710</v>
      </c>
      <c r="C366" s="384">
        <v>2421.78089</v>
      </c>
      <c r="D366" s="381">
        <v>2421.78089</v>
      </c>
      <c r="E366" s="412">
        <f t="shared" si="29"/>
        <v>100</v>
      </c>
      <c r="F366" s="291"/>
      <c r="G366" s="292">
        <v>0</v>
      </c>
      <c r="H366" s="19" t="s">
        <v>1150</v>
      </c>
      <c r="I366" s="234"/>
    </row>
    <row r="367" spans="1:9" ht="31.5" x14ac:dyDescent="0.25">
      <c r="A367" s="316"/>
      <c r="B367" s="385" t="s">
        <v>712</v>
      </c>
      <c r="C367" s="383">
        <f>SUM(C368)</f>
        <v>200</v>
      </c>
      <c r="D367" s="383">
        <f>D368</f>
        <v>200</v>
      </c>
      <c r="E367" s="408">
        <f t="shared" si="29"/>
        <v>100</v>
      </c>
      <c r="F367" s="289"/>
      <c r="G367" s="290">
        <f t="shared" si="28"/>
        <v>0</v>
      </c>
      <c r="H367" s="299"/>
      <c r="I367" s="234"/>
    </row>
    <row r="368" spans="1:9" ht="47.25" x14ac:dyDescent="0.25">
      <c r="A368" s="316"/>
      <c r="B368" s="379" t="s">
        <v>712</v>
      </c>
      <c r="C368" s="384">
        <v>200</v>
      </c>
      <c r="D368" s="381">
        <v>200</v>
      </c>
      <c r="E368" s="412">
        <f t="shared" si="29"/>
        <v>100</v>
      </c>
      <c r="F368" s="291"/>
      <c r="G368" s="292">
        <f t="shared" si="28"/>
        <v>0</v>
      </c>
      <c r="H368" s="19" t="s">
        <v>884</v>
      </c>
      <c r="I368" s="234"/>
    </row>
    <row r="369" spans="1:9" ht="31.5" x14ac:dyDescent="0.25">
      <c r="A369" s="316"/>
      <c r="B369" s="385" t="s">
        <v>713</v>
      </c>
      <c r="C369" s="383">
        <f>C370+C388</f>
        <v>48574.932860000001</v>
      </c>
      <c r="D369" s="383">
        <f>D370+D388</f>
        <v>43905.947339999999</v>
      </c>
      <c r="E369" s="408">
        <f t="shared" si="29"/>
        <v>90.388076225536537</v>
      </c>
      <c r="F369" s="289"/>
      <c r="G369" s="290">
        <f t="shared" si="28"/>
        <v>4668.985520000002</v>
      </c>
      <c r="H369" s="299"/>
      <c r="I369" s="234"/>
    </row>
    <row r="370" spans="1:9" ht="31.5" x14ac:dyDescent="0.25">
      <c r="A370" s="316"/>
      <c r="B370" s="385" t="s">
        <v>714</v>
      </c>
      <c r="C370" s="383">
        <f>C371+C376+C381</f>
        <v>46603.217860000004</v>
      </c>
      <c r="D370" s="383">
        <f>D371+D376+D381</f>
        <v>41934.232339999995</v>
      </c>
      <c r="E370" s="408">
        <f t="shared" si="29"/>
        <v>89.981409579857697</v>
      </c>
      <c r="F370" s="289"/>
      <c r="G370" s="290">
        <f t="shared" si="28"/>
        <v>4668.9855200000093</v>
      </c>
      <c r="H370" s="299"/>
      <c r="I370" s="234"/>
    </row>
    <row r="371" spans="1:9" ht="31.5" x14ac:dyDescent="0.25">
      <c r="A371" s="316"/>
      <c r="B371" s="385" t="s">
        <v>715</v>
      </c>
      <c r="C371" s="383">
        <f>SUM(C372:C375)</f>
        <v>30382.454850000002</v>
      </c>
      <c r="D371" s="383">
        <f>SUM(D372:D375)</f>
        <v>27682.452449999997</v>
      </c>
      <c r="E371" s="408">
        <f t="shared" si="29"/>
        <v>91.113284251288846</v>
      </c>
      <c r="F371" s="289"/>
      <c r="G371" s="290">
        <f t="shared" si="28"/>
        <v>2700.0024000000049</v>
      </c>
      <c r="H371" s="299"/>
      <c r="I371" s="234"/>
    </row>
    <row r="372" spans="1:9" ht="31.5" x14ac:dyDescent="0.25">
      <c r="A372" s="316"/>
      <c r="B372" s="379" t="s">
        <v>716</v>
      </c>
      <c r="C372" s="384">
        <v>5400</v>
      </c>
      <c r="D372" s="381">
        <v>2700</v>
      </c>
      <c r="E372" s="412">
        <f t="shared" si="29"/>
        <v>50</v>
      </c>
      <c r="F372" s="291"/>
      <c r="G372" s="292">
        <v>2700</v>
      </c>
      <c r="H372" s="19" t="s">
        <v>885</v>
      </c>
      <c r="I372" s="234"/>
    </row>
    <row r="373" spans="1:9" ht="31.5" x14ac:dyDescent="0.25">
      <c r="A373" s="316"/>
      <c r="B373" s="379" t="s">
        <v>717</v>
      </c>
      <c r="C373" s="384">
        <v>241.64685</v>
      </c>
      <c r="D373" s="381">
        <v>241.64685</v>
      </c>
      <c r="E373" s="412">
        <f t="shared" si="29"/>
        <v>100</v>
      </c>
      <c r="F373" s="291"/>
      <c r="G373" s="292">
        <v>0</v>
      </c>
      <c r="H373" s="422" t="s">
        <v>1151</v>
      </c>
      <c r="I373" s="234"/>
    </row>
    <row r="374" spans="1:9" ht="47.25" x14ac:dyDescent="0.25">
      <c r="A374" s="316"/>
      <c r="B374" s="379" t="s">
        <v>718</v>
      </c>
      <c r="C374" s="384">
        <v>1057.308</v>
      </c>
      <c r="D374" s="381">
        <v>1057.3078</v>
      </c>
      <c r="E374" s="412">
        <f t="shared" si="29"/>
        <v>99.999981084036065</v>
      </c>
      <c r="F374" s="291"/>
      <c r="G374" s="292">
        <v>1.9999999994979589E-4</v>
      </c>
      <c r="H374" s="202" t="s">
        <v>988</v>
      </c>
      <c r="I374" s="234"/>
    </row>
    <row r="375" spans="1:9" ht="78.75" x14ac:dyDescent="0.25">
      <c r="A375" s="316"/>
      <c r="B375" s="379" t="s">
        <v>719</v>
      </c>
      <c r="C375" s="384">
        <v>23683.5</v>
      </c>
      <c r="D375" s="381">
        <v>23683.497799999997</v>
      </c>
      <c r="E375" s="412">
        <f t="shared" si="29"/>
        <v>99.999990710832421</v>
      </c>
      <c r="F375" s="291"/>
      <c r="G375" s="292">
        <v>2.2000000026309863E-3</v>
      </c>
      <c r="H375" s="422" t="s">
        <v>1152</v>
      </c>
      <c r="I375" s="234"/>
    </row>
    <row r="376" spans="1:9" x14ac:dyDescent="0.25">
      <c r="A376" s="316"/>
      <c r="B376" s="385" t="s">
        <v>720</v>
      </c>
      <c r="C376" s="383">
        <f>SUM(C377:C380)</f>
        <v>2108.3684400000002</v>
      </c>
      <c r="D376" s="383">
        <f>SUM(D377:D380)</f>
        <v>1732.4390199999998</v>
      </c>
      <c r="E376" s="408">
        <f t="shared" si="29"/>
        <v>82.169652473075331</v>
      </c>
      <c r="F376" s="289"/>
      <c r="G376" s="290">
        <f t="shared" si="28"/>
        <v>375.92942000000039</v>
      </c>
      <c r="H376" s="299"/>
      <c r="I376" s="234"/>
    </row>
    <row r="377" spans="1:9" ht="31.5" x14ac:dyDescent="0.25">
      <c r="A377" s="316"/>
      <c r="B377" s="379" t="s">
        <v>721</v>
      </c>
      <c r="C377" s="384">
        <v>290</v>
      </c>
      <c r="D377" s="381">
        <v>290</v>
      </c>
      <c r="E377" s="412">
        <f t="shared" si="29"/>
        <v>100</v>
      </c>
      <c r="F377" s="291"/>
      <c r="G377" s="292">
        <v>0</v>
      </c>
      <c r="H377" s="299" t="s">
        <v>784</v>
      </c>
      <c r="I377" s="234"/>
    </row>
    <row r="378" spans="1:9" ht="31.5" x14ac:dyDescent="0.25">
      <c r="A378" s="316"/>
      <c r="B378" s="379" t="s">
        <v>722</v>
      </c>
      <c r="C378" s="384">
        <v>395</v>
      </c>
      <c r="D378" s="381">
        <v>395</v>
      </c>
      <c r="E378" s="412">
        <f t="shared" si="29"/>
        <v>100</v>
      </c>
      <c r="F378" s="291"/>
      <c r="G378" s="292">
        <v>0</v>
      </c>
      <c r="H378" s="299" t="s">
        <v>784</v>
      </c>
      <c r="I378" s="234"/>
    </row>
    <row r="379" spans="1:9" ht="31.5" x14ac:dyDescent="0.25">
      <c r="A379" s="316"/>
      <c r="B379" s="379" t="s">
        <v>723</v>
      </c>
      <c r="C379" s="384">
        <v>504.36844000000002</v>
      </c>
      <c r="D379" s="381">
        <v>504.36844000000002</v>
      </c>
      <c r="E379" s="412">
        <f t="shared" si="29"/>
        <v>100</v>
      </c>
      <c r="F379" s="291"/>
      <c r="G379" s="292">
        <v>0</v>
      </c>
      <c r="H379" s="299" t="s">
        <v>784</v>
      </c>
      <c r="I379" s="234"/>
    </row>
    <row r="380" spans="1:9" ht="47.25" x14ac:dyDescent="0.25">
      <c r="A380" s="316"/>
      <c r="B380" s="379" t="s">
        <v>724</v>
      </c>
      <c r="C380" s="384">
        <v>919</v>
      </c>
      <c r="D380" s="381">
        <v>543.07057999999995</v>
      </c>
      <c r="E380" s="412">
        <f t="shared" ref="E380:E391" si="30">SUM(D380/C380*100)</f>
        <v>59.093643090315553</v>
      </c>
      <c r="F380" s="291"/>
      <c r="G380" s="292">
        <v>375.92942000000005</v>
      </c>
      <c r="H380" s="422" t="s">
        <v>886</v>
      </c>
      <c r="I380" s="234"/>
    </row>
    <row r="381" spans="1:9" ht="31.5" x14ac:dyDescent="0.25">
      <c r="A381" s="316"/>
      <c r="B381" s="385" t="s">
        <v>725</v>
      </c>
      <c r="C381" s="383">
        <f>SUM(C382:C387)</f>
        <v>14112.39457</v>
      </c>
      <c r="D381" s="417">
        <f>SUM(D382:D387)</f>
        <v>12519.340870000002</v>
      </c>
      <c r="E381" s="408">
        <f t="shared" si="30"/>
        <v>88.711669787163558</v>
      </c>
      <c r="F381" s="289"/>
      <c r="G381" s="290">
        <f>SUM(C381-D381)</f>
        <v>1593.0536999999986</v>
      </c>
      <c r="H381" s="299"/>
      <c r="I381" s="234"/>
    </row>
    <row r="382" spans="1:9" x14ac:dyDescent="0.25">
      <c r="A382" s="316"/>
      <c r="B382" s="379" t="s">
        <v>727</v>
      </c>
      <c r="C382" s="384">
        <v>1023.3</v>
      </c>
      <c r="D382" s="381">
        <v>1023.3</v>
      </c>
      <c r="E382" s="412">
        <f t="shared" si="30"/>
        <v>100</v>
      </c>
      <c r="F382" s="291"/>
      <c r="G382" s="292">
        <v>0</v>
      </c>
      <c r="H382" s="19" t="s">
        <v>1153</v>
      </c>
      <c r="I382" s="234"/>
    </row>
    <row r="383" spans="1:9" x14ac:dyDescent="0.25">
      <c r="A383" s="316"/>
      <c r="B383" s="379" t="s">
        <v>728</v>
      </c>
      <c r="C383" s="384">
        <v>500.09609999999998</v>
      </c>
      <c r="D383" s="381">
        <v>500.09609999999998</v>
      </c>
      <c r="E383" s="412">
        <f t="shared" si="30"/>
        <v>100</v>
      </c>
      <c r="F383" s="291"/>
      <c r="G383" s="292">
        <v>0</v>
      </c>
      <c r="H383" s="299" t="s">
        <v>1154</v>
      </c>
      <c r="I383" s="234"/>
    </row>
    <row r="384" spans="1:9" ht="84.75" customHeight="1" x14ac:dyDescent="0.25">
      <c r="A384" s="316"/>
      <c r="B384" s="379" t="s">
        <v>729</v>
      </c>
      <c r="C384" s="384">
        <v>61.94247</v>
      </c>
      <c r="D384" s="381">
        <v>21.598769999999998</v>
      </c>
      <c r="E384" s="412">
        <f t="shared" si="30"/>
        <v>34.869080939135941</v>
      </c>
      <c r="F384" s="291"/>
      <c r="G384" s="292">
        <v>40.343699999999998</v>
      </c>
      <c r="H384" s="202" t="s">
        <v>1155</v>
      </c>
      <c r="I384" s="234"/>
    </row>
    <row r="385" spans="1:10" ht="157.5" x14ac:dyDescent="0.25">
      <c r="A385" s="316"/>
      <c r="B385" s="379" t="s">
        <v>730</v>
      </c>
      <c r="C385" s="384">
        <v>601.74800000000005</v>
      </c>
      <c r="D385" s="381">
        <v>102.172</v>
      </c>
      <c r="E385" s="412">
        <f t="shared" si="30"/>
        <v>16.979200595598158</v>
      </c>
      <c r="F385" s="291"/>
      <c r="G385" s="292">
        <v>499.57600000000002</v>
      </c>
      <c r="H385" s="202" t="s">
        <v>1156</v>
      </c>
      <c r="I385" s="234"/>
    </row>
    <row r="386" spans="1:10" ht="112.5" customHeight="1" x14ac:dyDescent="0.25">
      <c r="A386" s="316"/>
      <c r="B386" s="379" t="s">
        <v>731</v>
      </c>
      <c r="C386" s="384">
        <v>1338.008</v>
      </c>
      <c r="D386" s="381">
        <v>284.87400000000002</v>
      </c>
      <c r="E386" s="412">
        <f t="shared" si="30"/>
        <v>21.290904090259552</v>
      </c>
      <c r="F386" s="291"/>
      <c r="G386" s="292">
        <v>1053.134</v>
      </c>
      <c r="H386" s="238" t="s">
        <v>1157</v>
      </c>
      <c r="I386" s="234"/>
    </row>
    <row r="387" spans="1:10" s="406" customFormat="1" ht="63" x14ac:dyDescent="0.25">
      <c r="A387" s="316"/>
      <c r="B387" s="390" t="s">
        <v>1131</v>
      </c>
      <c r="C387" s="420">
        <v>10587.3</v>
      </c>
      <c r="D387" s="413">
        <v>10587.300000000001</v>
      </c>
      <c r="E387" s="412">
        <f t="shared" si="30"/>
        <v>100.00000000000003</v>
      </c>
      <c r="F387" s="412"/>
      <c r="G387" s="413">
        <v>-1.8189894035458565E-12</v>
      </c>
      <c r="H387" s="422" t="s">
        <v>1158</v>
      </c>
      <c r="I387" s="411"/>
    </row>
    <row r="388" spans="1:10" x14ac:dyDescent="0.25">
      <c r="A388" s="316"/>
      <c r="B388" s="387" t="s">
        <v>732</v>
      </c>
      <c r="C388" s="383">
        <f>SUM(C389:C391)</f>
        <v>1971.7150000000001</v>
      </c>
      <c r="D388" s="383">
        <f>SUM(D389:D391)</f>
        <v>1971.7150000000001</v>
      </c>
      <c r="E388" s="408">
        <f t="shared" si="30"/>
        <v>100</v>
      </c>
      <c r="F388" s="289"/>
      <c r="G388" s="290">
        <f>SUM(C388-D388)</f>
        <v>0</v>
      </c>
      <c r="H388" s="299"/>
      <c r="I388" s="234"/>
    </row>
    <row r="389" spans="1:10" ht="47.25" x14ac:dyDescent="0.25">
      <c r="A389" s="316"/>
      <c r="B389" s="379" t="s">
        <v>733</v>
      </c>
      <c r="C389" s="384">
        <v>456</v>
      </c>
      <c r="D389" s="381">
        <v>456</v>
      </c>
      <c r="E389" s="412">
        <f t="shared" si="30"/>
        <v>100</v>
      </c>
      <c r="F389" s="291"/>
      <c r="G389" s="292">
        <v>0</v>
      </c>
      <c r="H389" s="202" t="s">
        <v>989</v>
      </c>
      <c r="I389" s="234"/>
    </row>
    <row r="390" spans="1:10" ht="47.25" x14ac:dyDescent="0.25">
      <c r="A390" s="316"/>
      <c r="B390" s="379" t="s">
        <v>734</v>
      </c>
      <c r="C390" s="384">
        <v>1312.8150000000001</v>
      </c>
      <c r="D390" s="381">
        <v>1312.8150000000001</v>
      </c>
      <c r="E390" s="412">
        <f t="shared" si="30"/>
        <v>100</v>
      </c>
      <c r="F390" s="291"/>
      <c r="G390" s="292">
        <v>0</v>
      </c>
      <c r="H390" s="202" t="s">
        <v>990</v>
      </c>
      <c r="I390" s="234"/>
    </row>
    <row r="391" spans="1:10" ht="63" x14ac:dyDescent="0.25">
      <c r="A391" s="316"/>
      <c r="B391" s="379" t="s">
        <v>735</v>
      </c>
      <c r="C391" s="384">
        <v>202.9</v>
      </c>
      <c r="D391" s="381">
        <v>202.9</v>
      </c>
      <c r="E391" s="412">
        <f t="shared" si="30"/>
        <v>100</v>
      </c>
      <c r="F391" s="291"/>
      <c r="G391" s="292">
        <v>0</v>
      </c>
      <c r="H391" s="19" t="s">
        <v>1159</v>
      </c>
      <c r="I391" s="234"/>
    </row>
    <row r="392" spans="1:10" s="624" customFormat="1" ht="220.5" x14ac:dyDescent="0.25">
      <c r="A392" s="652">
        <v>22</v>
      </c>
      <c r="B392" s="629" t="s">
        <v>1409</v>
      </c>
      <c r="C392" s="657">
        <v>0</v>
      </c>
      <c r="D392" s="658">
        <v>0</v>
      </c>
      <c r="E392" s="658">
        <v>0</v>
      </c>
      <c r="F392" s="655"/>
      <c r="G392" s="658">
        <f>SUM(C392-D392)</f>
        <v>0</v>
      </c>
      <c r="H392" s="659" t="s">
        <v>1408</v>
      </c>
      <c r="I392" s="631" t="s">
        <v>858</v>
      </c>
    </row>
    <row r="393" spans="1:10" x14ac:dyDescent="0.25">
      <c r="A393" s="316"/>
      <c r="B393" s="382" t="s">
        <v>765</v>
      </c>
      <c r="C393" s="380">
        <f>SUM(C5+C15+C28+C39+C46+C51+C86+C102+C137+C162+C178+C184+C254+C277+C293+C303+C306+C311+C312+C316)+C229</f>
        <v>649409.04749000003</v>
      </c>
      <c r="D393" s="380">
        <f>SUM(D5+D15+D28+D39+D46+D51+D86+D102+D137+D162+D178+D184+D254+D277+D293+D303+D306+D311+D312+D316)+D229</f>
        <v>632148.31435000012</v>
      </c>
      <c r="E393" s="289">
        <v>0</v>
      </c>
      <c r="F393" s="289"/>
      <c r="G393" s="290">
        <f>SUM(C393-D393)</f>
        <v>17260.733139999909</v>
      </c>
      <c r="H393" s="299"/>
      <c r="I393" s="234"/>
    </row>
    <row r="395" spans="1:10" hidden="1" x14ac:dyDescent="0.25">
      <c r="C395" s="240">
        <f>C316+C312+C311+C306+C293+C303+C277+C254+C229+C184+C178+C162+C137+C102+C86+C51+C46+C39+C28+C15+C5</f>
        <v>649409.04749000003</v>
      </c>
      <c r="D395" s="240">
        <f>D316+D312+D311+D306+D293+D303+D277+D254+D229+D184+D178+D162+D137+D102+D86+D51+D46+D39+D28+D15+D5</f>
        <v>632148.31435000023</v>
      </c>
    </row>
    <row r="397" spans="1:10" ht="18.75" x14ac:dyDescent="0.3">
      <c r="B397" s="733" t="s">
        <v>1416</v>
      </c>
      <c r="C397" s="733"/>
      <c r="D397" s="733" t="s">
        <v>1414</v>
      </c>
      <c r="E397" s="733"/>
      <c r="F397" s="733"/>
      <c r="G397" s="733"/>
      <c r="H397" s="733"/>
      <c r="I397" s="733"/>
      <c r="J397" s="733"/>
    </row>
    <row r="398" spans="1:10" ht="18.75" x14ac:dyDescent="0.3">
      <c r="B398" s="733"/>
      <c r="C398" s="733"/>
      <c r="D398" s="733"/>
      <c r="E398" s="733"/>
      <c r="F398" s="733"/>
      <c r="G398" s="733"/>
      <c r="H398" s="733"/>
      <c r="I398" s="733"/>
      <c r="J398" s="733"/>
    </row>
    <row r="399" spans="1:10" ht="18.75" x14ac:dyDescent="0.3">
      <c r="B399" s="733" t="s">
        <v>1417</v>
      </c>
      <c r="C399" s="733"/>
      <c r="D399" s="733"/>
      <c r="E399" s="733"/>
      <c r="F399" s="733"/>
      <c r="G399" s="733"/>
      <c r="H399" s="733"/>
      <c r="I399" s="733"/>
      <c r="J399" s="733"/>
    </row>
    <row r="400" spans="1:10" ht="18.75" x14ac:dyDescent="0.3">
      <c r="B400" s="733"/>
      <c r="C400" s="733"/>
      <c r="D400" s="733"/>
      <c r="E400" s="733"/>
      <c r="F400" s="733"/>
      <c r="G400" s="733"/>
      <c r="H400" s="733"/>
      <c r="I400" s="733"/>
      <c r="J400" s="733"/>
    </row>
    <row r="401" spans="2:10" x14ac:dyDescent="0.25">
      <c r="B401" s="728"/>
      <c r="C401" s="728"/>
      <c r="D401" s="728"/>
      <c r="E401" s="728"/>
      <c r="F401" s="728"/>
      <c r="G401" s="728"/>
      <c r="H401" s="728"/>
      <c r="I401" s="728"/>
      <c r="J401" s="728"/>
    </row>
    <row r="402" spans="2:10" x14ac:dyDescent="0.25">
      <c r="B402" s="728"/>
      <c r="C402" s="728"/>
      <c r="D402" s="728"/>
      <c r="E402" s="728"/>
      <c r="F402" s="728"/>
      <c r="G402" s="728"/>
      <c r="H402" s="728"/>
      <c r="I402" s="728"/>
      <c r="J402" s="728"/>
    </row>
  </sheetData>
  <autoFilter ref="A4:I393"/>
  <mergeCells count="7">
    <mergeCell ref="H124:H126"/>
    <mergeCell ref="H127:H128"/>
    <mergeCell ref="A1:H1"/>
    <mergeCell ref="A2:H2"/>
    <mergeCell ref="A3:H3"/>
    <mergeCell ref="H118:H120"/>
    <mergeCell ref="H121:H123"/>
  </mergeCells>
  <conditionalFormatting sqref="B249:B252">
    <cfRule type="cellIs" dxfId="3" priority="1" stopIfTrue="1" operator="equal">
      <formula>0</formula>
    </cfRule>
  </conditionalFormatting>
  <conditionalFormatting sqref="B248 B253 B230:B246">
    <cfRule type="cellIs" dxfId="2" priority="4" stopIfTrue="1" operator="equal">
      <formula>0</formula>
    </cfRule>
  </conditionalFormatting>
  <conditionalFormatting sqref="B248 B253 B230:B246">
    <cfRule type="cellIs" dxfId="1" priority="3" stopIfTrue="1" operator="equal">
      <formula>0</formula>
    </cfRule>
  </conditionalFormatting>
  <conditionalFormatting sqref="B249:B252">
    <cfRule type="cellIs" dxfId="0" priority="2" stopIfTrue="1" operator="equal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473"/>
  <sheetViews>
    <sheetView topLeftCell="A65" zoomScale="55" zoomScaleNormal="55" workbookViewId="0">
      <selection activeCell="B50" sqref="B50:H50"/>
    </sheetView>
  </sheetViews>
  <sheetFormatPr defaultRowHeight="15.75" x14ac:dyDescent="0.25"/>
  <cols>
    <col min="1" max="1" width="4.28515625" style="34" bestFit="1" customWidth="1"/>
    <col min="2" max="2" width="62.85546875" style="36" customWidth="1"/>
    <col min="3" max="3" width="15" style="36" customWidth="1"/>
    <col min="4" max="4" width="13.7109375" style="36" customWidth="1"/>
    <col min="5" max="5" width="20.28515625" style="36" customWidth="1"/>
    <col min="6" max="6" width="32.5703125" style="36" customWidth="1"/>
    <col min="7" max="7" width="13.140625" style="36" customWidth="1"/>
    <col min="8" max="8" width="56.140625" style="109" customWidth="1"/>
    <col min="9" max="9" width="12.5703125" style="34" customWidth="1"/>
    <col min="10" max="10" width="6.140625" style="34" customWidth="1"/>
    <col min="11" max="32" width="9.140625" style="34"/>
    <col min="33" max="16384" width="9.140625" style="36"/>
  </cols>
  <sheetData>
    <row r="1" spans="1:247" ht="33" customHeight="1" x14ac:dyDescent="0.25">
      <c r="A1" s="782" t="s">
        <v>1401</v>
      </c>
      <c r="B1" s="783"/>
      <c r="C1" s="783"/>
      <c r="D1" s="783"/>
      <c r="E1" s="783"/>
      <c r="F1" s="783"/>
      <c r="G1" s="783"/>
      <c r="H1" s="784"/>
    </row>
    <row r="2" spans="1:247" ht="15.75" customHeight="1" x14ac:dyDescent="0.25">
      <c r="A2" s="785"/>
      <c r="B2" s="786"/>
      <c r="C2" s="786"/>
      <c r="D2" s="786"/>
      <c r="E2" s="786"/>
      <c r="F2" s="786"/>
      <c r="G2" s="786"/>
      <c r="H2" s="787"/>
    </row>
    <row r="3" spans="1:247" x14ac:dyDescent="0.25">
      <c r="A3" s="788" t="s">
        <v>99</v>
      </c>
      <c r="B3" s="775" t="s">
        <v>57</v>
      </c>
      <c r="C3" s="853" t="s">
        <v>58</v>
      </c>
      <c r="D3" s="854" t="s">
        <v>50</v>
      </c>
      <c r="E3" s="854" t="s">
        <v>51</v>
      </c>
      <c r="F3" s="854" t="s">
        <v>52</v>
      </c>
      <c r="G3" s="794" t="s">
        <v>188</v>
      </c>
      <c r="H3" s="779" t="s">
        <v>1412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</row>
    <row r="4" spans="1:247" x14ac:dyDescent="0.25">
      <c r="A4" s="789"/>
      <c r="B4" s="775"/>
      <c r="C4" s="853"/>
      <c r="D4" s="854"/>
      <c r="E4" s="855"/>
      <c r="F4" s="854"/>
      <c r="G4" s="794"/>
      <c r="H4" s="780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</row>
    <row r="5" spans="1:247" x14ac:dyDescent="0.25">
      <c r="A5" s="790"/>
      <c r="B5" s="775"/>
      <c r="C5" s="853"/>
      <c r="D5" s="856" t="s">
        <v>189</v>
      </c>
      <c r="E5" s="857"/>
      <c r="F5" s="854"/>
      <c r="G5" s="794"/>
      <c r="H5" s="78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</row>
    <row r="6" spans="1:247" x14ac:dyDescent="0.25">
      <c r="A6" s="34">
        <v>1</v>
      </c>
      <c r="B6" s="39">
        <v>2</v>
      </c>
      <c r="C6" s="40">
        <v>3</v>
      </c>
      <c r="D6" s="40">
        <v>4</v>
      </c>
      <c r="E6" s="40">
        <v>5</v>
      </c>
      <c r="F6" s="40">
        <v>6</v>
      </c>
      <c r="G6" s="680">
        <v>7</v>
      </c>
      <c r="H6" s="609">
        <v>8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</row>
    <row r="7" spans="1:247" s="311" customFormat="1" ht="37.5" customHeight="1" x14ac:dyDescent="0.25">
      <c r="A7" s="678">
        <v>1</v>
      </c>
      <c r="B7" s="858" t="s">
        <v>1272</v>
      </c>
      <c r="C7" s="858"/>
      <c r="D7" s="858"/>
      <c r="E7" s="848"/>
      <c r="F7" s="847"/>
      <c r="G7" s="681">
        <f>(F9+F11+F27+F32+F34+F35+F14+F15+F16+F19+F22+F24+F38)/13</f>
        <v>94.871794871794862</v>
      </c>
      <c r="H7" s="608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6"/>
      <c r="U7" s="606"/>
      <c r="V7" s="606"/>
      <c r="W7" s="606"/>
      <c r="X7" s="606"/>
      <c r="Y7" s="606"/>
      <c r="Z7" s="606"/>
      <c r="AA7" s="606"/>
      <c r="AB7" s="606"/>
      <c r="AC7" s="606"/>
      <c r="AD7" s="606"/>
      <c r="AE7" s="606"/>
      <c r="AF7" s="606"/>
      <c r="AG7" s="679"/>
      <c r="AH7" s="679"/>
      <c r="AI7" s="679"/>
      <c r="AJ7" s="679"/>
      <c r="AK7" s="679"/>
      <c r="AL7" s="679"/>
      <c r="AM7" s="679"/>
      <c r="AN7" s="679"/>
      <c r="AO7" s="679"/>
      <c r="AP7" s="679"/>
      <c r="AQ7" s="679"/>
      <c r="AR7" s="679"/>
      <c r="AS7" s="679"/>
      <c r="AT7" s="679"/>
      <c r="AU7" s="679"/>
      <c r="AV7" s="679"/>
      <c r="AW7" s="679"/>
      <c r="AX7" s="679"/>
      <c r="AY7" s="679"/>
      <c r="AZ7" s="679"/>
      <c r="BA7" s="679"/>
      <c r="BB7" s="679"/>
      <c r="BC7" s="679"/>
      <c r="BD7" s="679"/>
      <c r="BE7" s="679"/>
      <c r="BF7" s="679"/>
      <c r="BG7" s="679"/>
      <c r="BH7" s="679"/>
      <c r="BI7" s="679"/>
      <c r="BJ7" s="679"/>
      <c r="BK7" s="679"/>
      <c r="BL7" s="679"/>
      <c r="BM7" s="679"/>
      <c r="BN7" s="679"/>
      <c r="BO7" s="679"/>
      <c r="BP7" s="679"/>
      <c r="BQ7" s="679"/>
      <c r="BR7" s="679"/>
      <c r="BS7" s="679"/>
      <c r="BT7" s="679"/>
      <c r="BU7" s="679"/>
      <c r="BV7" s="679"/>
      <c r="BW7" s="679"/>
      <c r="BX7" s="679"/>
      <c r="BY7" s="679"/>
      <c r="BZ7" s="679"/>
      <c r="CA7" s="679"/>
      <c r="CB7" s="679"/>
      <c r="CC7" s="679"/>
      <c r="CD7" s="679"/>
      <c r="CE7" s="679"/>
      <c r="CF7" s="679"/>
      <c r="CG7" s="679"/>
      <c r="CH7" s="679"/>
      <c r="CI7" s="679"/>
      <c r="CJ7" s="679"/>
      <c r="CK7" s="679"/>
      <c r="CL7" s="679"/>
      <c r="CM7" s="679"/>
      <c r="CN7" s="679"/>
      <c r="CO7" s="679"/>
      <c r="CP7" s="679"/>
      <c r="CQ7" s="679"/>
      <c r="CR7" s="679"/>
      <c r="CS7" s="679"/>
      <c r="CT7" s="679"/>
      <c r="CU7" s="679"/>
      <c r="CV7" s="679"/>
      <c r="CW7" s="679"/>
      <c r="CX7" s="679"/>
      <c r="CY7" s="679"/>
      <c r="CZ7" s="679"/>
      <c r="DA7" s="679"/>
      <c r="DB7" s="679"/>
      <c r="DC7" s="679"/>
      <c r="DD7" s="679"/>
      <c r="DE7" s="679"/>
      <c r="DF7" s="679"/>
      <c r="DG7" s="679"/>
      <c r="DH7" s="679"/>
      <c r="DI7" s="679"/>
      <c r="DJ7" s="679"/>
      <c r="DK7" s="679"/>
      <c r="DL7" s="679"/>
      <c r="DM7" s="679"/>
      <c r="DN7" s="679"/>
      <c r="DO7" s="679"/>
      <c r="DP7" s="679"/>
      <c r="DQ7" s="679"/>
      <c r="DR7" s="679"/>
      <c r="DS7" s="679"/>
      <c r="DT7" s="679"/>
      <c r="DU7" s="679"/>
      <c r="DV7" s="679"/>
      <c r="DW7" s="679"/>
      <c r="DX7" s="679"/>
      <c r="DY7" s="679"/>
      <c r="DZ7" s="679"/>
      <c r="EA7" s="679"/>
      <c r="EB7" s="679"/>
      <c r="EC7" s="679"/>
      <c r="ED7" s="679"/>
      <c r="EE7" s="679"/>
      <c r="EF7" s="679"/>
      <c r="EG7" s="679"/>
      <c r="EH7" s="679"/>
      <c r="EI7" s="679"/>
      <c r="EJ7" s="679"/>
      <c r="EK7" s="679"/>
      <c r="EL7" s="679"/>
      <c r="EM7" s="679"/>
      <c r="EN7" s="679"/>
      <c r="EO7" s="679"/>
      <c r="EP7" s="679"/>
      <c r="EQ7" s="679"/>
      <c r="ER7" s="679"/>
      <c r="ES7" s="679"/>
      <c r="ET7" s="679"/>
      <c r="EU7" s="679"/>
      <c r="EV7" s="679"/>
      <c r="EW7" s="679"/>
      <c r="EX7" s="679"/>
      <c r="EY7" s="679"/>
      <c r="EZ7" s="679"/>
      <c r="FA7" s="679"/>
      <c r="FB7" s="679"/>
      <c r="FC7" s="679"/>
      <c r="FD7" s="679"/>
      <c r="FE7" s="679"/>
      <c r="FF7" s="679"/>
      <c r="FG7" s="679"/>
      <c r="FH7" s="679"/>
      <c r="FI7" s="679"/>
      <c r="FJ7" s="679"/>
      <c r="FK7" s="679"/>
      <c r="FL7" s="679"/>
      <c r="FM7" s="679"/>
      <c r="FN7" s="679"/>
      <c r="FO7" s="679"/>
      <c r="FP7" s="679"/>
      <c r="FQ7" s="679"/>
      <c r="FR7" s="679"/>
      <c r="FS7" s="679"/>
      <c r="FT7" s="679"/>
      <c r="FU7" s="679"/>
      <c r="FV7" s="679"/>
      <c r="FW7" s="679"/>
      <c r="FX7" s="679"/>
      <c r="FY7" s="679"/>
      <c r="FZ7" s="679"/>
      <c r="GA7" s="679"/>
      <c r="GB7" s="679"/>
      <c r="GC7" s="679"/>
      <c r="GD7" s="679"/>
      <c r="GE7" s="679"/>
      <c r="GF7" s="679"/>
      <c r="GG7" s="679"/>
      <c r="GH7" s="679"/>
      <c r="GI7" s="679"/>
      <c r="GJ7" s="679"/>
      <c r="GK7" s="679"/>
      <c r="GL7" s="679"/>
      <c r="GM7" s="679"/>
      <c r="GN7" s="679"/>
      <c r="GO7" s="679"/>
      <c r="GP7" s="679"/>
      <c r="GQ7" s="679"/>
      <c r="GR7" s="679"/>
      <c r="GS7" s="679"/>
      <c r="GT7" s="679"/>
      <c r="GU7" s="679"/>
      <c r="GV7" s="679"/>
      <c r="GW7" s="679"/>
      <c r="GX7" s="679"/>
      <c r="GY7" s="679"/>
      <c r="GZ7" s="679"/>
      <c r="HA7" s="679"/>
      <c r="HB7" s="679"/>
      <c r="HC7" s="679"/>
      <c r="HD7" s="679"/>
      <c r="HE7" s="679"/>
      <c r="HF7" s="679"/>
      <c r="HG7" s="679"/>
      <c r="HH7" s="679"/>
      <c r="HI7" s="679"/>
      <c r="HJ7" s="679"/>
      <c r="HK7" s="679"/>
      <c r="HL7" s="679"/>
      <c r="HM7" s="679"/>
      <c r="HN7" s="679"/>
      <c r="HO7" s="679"/>
      <c r="HP7" s="679"/>
      <c r="HQ7" s="679"/>
      <c r="HR7" s="679"/>
      <c r="HS7" s="679"/>
      <c r="HT7" s="679"/>
      <c r="HU7" s="679"/>
      <c r="HV7" s="679"/>
      <c r="HW7" s="679"/>
      <c r="HX7" s="679"/>
      <c r="HY7" s="679"/>
      <c r="HZ7" s="679"/>
      <c r="IA7" s="679"/>
      <c r="IB7" s="679"/>
      <c r="IC7" s="679"/>
      <c r="ID7" s="679"/>
      <c r="IE7" s="679"/>
      <c r="IF7" s="679"/>
      <c r="IG7" s="679"/>
      <c r="IH7" s="679"/>
      <c r="II7" s="679"/>
      <c r="IJ7" s="679"/>
      <c r="IK7" s="679"/>
      <c r="IL7" s="679"/>
      <c r="IM7" s="679"/>
    </row>
    <row r="8" spans="1:247" ht="33.75" customHeight="1" x14ac:dyDescent="0.25">
      <c r="B8" s="791" t="s">
        <v>1273</v>
      </c>
      <c r="C8" s="792"/>
      <c r="D8" s="792"/>
      <c r="E8" s="792"/>
      <c r="F8" s="792"/>
      <c r="G8" s="792"/>
      <c r="H8" s="793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</row>
    <row r="9" spans="1:247" x14ac:dyDescent="0.25">
      <c r="B9" s="42" t="s">
        <v>190</v>
      </c>
      <c r="C9" s="40" t="s">
        <v>191</v>
      </c>
      <c r="D9" s="43">
        <v>2722</v>
      </c>
      <c r="E9" s="43">
        <v>4327.7</v>
      </c>
      <c r="F9" s="44">
        <v>100</v>
      </c>
      <c r="G9" s="683"/>
      <c r="H9" s="607"/>
      <c r="I9" s="605"/>
      <c r="J9" s="605"/>
      <c r="K9" s="605"/>
      <c r="L9" s="605"/>
      <c r="M9" s="605"/>
      <c r="N9" s="605"/>
      <c r="O9" s="605"/>
      <c r="P9" s="605"/>
      <c r="Q9" s="605"/>
      <c r="R9" s="605"/>
      <c r="S9" s="605"/>
      <c r="T9" s="605"/>
      <c r="U9" s="605"/>
      <c r="V9" s="605"/>
      <c r="W9" s="605"/>
      <c r="X9" s="605"/>
      <c r="Y9" s="605"/>
      <c r="Z9" s="605"/>
      <c r="AA9" s="605"/>
      <c r="AB9" s="605"/>
      <c r="AC9" s="605"/>
      <c r="AD9" s="605"/>
      <c r="AE9" s="605"/>
      <c r="AF9" s="60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</row>
    <row r="10" spans="1:247" x14ac:dyDescent="0.25">
      <c r="B10" s="42" t="s">
        <v>192</v>
      </c>
      <c r="C10" s="40" t="s">
        <v>191</v>
      </c>
      <c r="D10" s="43">
        <v>0</v>
      </c>
      <c r="E10" s="46">
        <v>0</v>
      </c>
      <c r="F10" s="44"/>
      <c r="G10" s="683"/>
      <c r="H10" s="607"/>
      <c r="I10" s="605"/>
      <c r="J10" s="605"/>
      <c r="K10" s="605"/>
      <c r="L10" s="605"/>
      <c r="M10" s="605"/>
      <c r="N10" s="605"/>
      <c r="O10" s="605"/>
      <c r="P10" s="605"/>
      <c r="Q10" s="605"/>
      <c r="R10" s="605"/>
      <c r="S10" s="605"/>
      <c r="T10" s="605"/>
      <c r="U10" s="605"/>
      <c r="V10" s="605"/>
      <c r="W10" s="605"/>
      <c r="X10" s="605"/>
      <c r="Y10" s="605"/>
      <c r="Z10" s="605"/>
      <c r="AA10" s="605"/>
      <c r="AB10" s="605"/>
      <c r="AC10" s="605"/>
      <c r="AD10" s="605"/>
      <c r="AE10" s="605"/>
      <c r="AF10" s="60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</row>
    <row r="11" spans="1:247" x14ac:dyDescent="0.25">
      <c r="B11" s="42" t="s">
        <v>193</v>
      </c>
      <c r="C11" s="40" t="s">
        <v>191</v>
      </c>
      <c r="D11" s="43">
        <v>2722</v>
      </c>
      <c r="E11" s="43">
        <v>4327.7</v>
      </c>
      <c r="F11" s="44">
        <v>100</v>
      </c>
      <c r="G11" s="683"/>
      <c r="H11" s="607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605"/>
      <c r="AC11" s="605"/>
      <c r="AD11" s="605"/>
      <c r="AE11" s="605"/>
      <c r="AF11" s="60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</row>
    <row r="12" spans="1:247" x14ac:dyDescent="0.25">
      <c r="B12" s="812" t="s">
        <v>1274</v>
      </c>
      <c r="C12" s="812"/>
      <c r="D12" s="812"/>
      <c r="E12" s="812"/>
      <c r="F12" s="812"/>
      <c r="G12" s="683"/>
      <c r="H12" s="607"/>
      <c r="I12" s="605"/>
      <c r="J12" s="605"/>
      <c r="K12" s="605"/>
      <c r="L12" s="605"/>
      <c r="M12" s="605"/>
      <c r="N12" s="605"/>
      <c r="O12" s="605"/>
      <c r="P12" s="605"/>
      <c r="Q12" s="605"/>
      <c r="R12" s="605"/>
      <c r="S12" s="605"/>
      <c r="T12" s="605"/>
      <c r="U12" s="605"/>
      <c r="V12" s="605"/>
      <c r="W12" s="605"/>
      <c r="X12" s="605"/>
      <c r="Y12" s="605"/>
      <c r="Z12" s="605"/>
      <c r="AA12" s="605"/>
      <c r="AB12" s="605"/>
      <c r="AC12" s="605"/>
      <c r="AD12" s="605"/>
      <c r="AE12" s="605"/>
      <c r="AF12" s="60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</row>
    <row r="13" spans="1:247" ht="17.25" customHeight="1" x14ac:dyDescent="0.25">
      <c r="B13" s="812" t="s">
        <v>194</v>
      </c>
      <c r="C13" s="812"/>
      <c r="D13" s="812"/>
      <c r="E13" s="812"/>
      <c r="F13" s="812"/>
      <c r="G13" s="684"/>
    </row>
    <row r="14" spans="1:247" ht="14.25" customHeight="1" x14ac:dyDescent="0.25">
      <c r="B14" s="47" t="s">
        <v>195</v>
      </c>
      <c r="C14" s="49" t="s">
        <v>85</v>
      </c>
      <c r="D14" s="49">
        <v>3</v>
      </c>
      <c r="E14" s="50">
        <v>3</v>
      </c>
      <c r="F14" s="44">
        <f>SUM(E14/D14)*100</f>
        <v>100</v>
      </c>
      <c r="G14" s="684"/>
    </row>
    <row r="15" spans="1:247" x14ac:dyDescent="0.25">
      <c r="B15" s="47" t="s">
        <v>196</v>
      </c>
      <c r="C15" s="48" t="s">
        <v>85</v>
      </c>
      <c r="D15" s="49">
        <v>1</v>
      </c>
      <c r="E15" s="50">
        <v>1</v>
      </c>
      <c r="F15" s="44">
        <f>SUM(E15/D15)*100</f>
        <v>100</v>
      </c>
      <c r="G15" s="684"/>
    </row>
    <row r="16" spans="1:247" ht="31.5" x14ac:dyDescent="0.25">
      <c r="B16" s="47" t="s">
        <v>197</v>
      </c>
      <c r="C16" s="49" t="s">
        <v>85</v>
      </c>
      <c r="D16" s="49">
        <v>2</v>
      </c>
      <c r="E16" s="50">
        <v>2</v>
      </c>
      <c r="F16" s="44">
        <f>SUM(E16/D16)*100</f>
        <v>100</v>
      </c>
      <c r="G16" s="684"/>
    </row>
    <row r="17" spans="1:32" ht="32.25" customHeight="1" x14ac:dyDescent="0.25">
      <c r="B17" s="47" t="s">
        <v>198</v>
      </c>
      <c r="C17" s="49" t="s">
        <v>85</v>
      </c>
      <c r="D17" s="49">
        <v>0</v>
      </c>
      <c r="E17" s="50">
        <v>0</v>
      </c>
      <c r="F17" s="44"/>
      <c r="G17" s="684"/>
    </row>
    <row r="18" spans="1:32" x14ac:dyDescent="0.25">
      <c r="B18" s="859" t="s">
        <v>199</v>
      </c>
      <c r="C18" s="859"/>
      <c r="D18" s="859"/>
      <c r="E18" s="859"/>
      <c r="F18" s="859"/>
      <c r="G18" s="684"/>
    </row>
    <row r="19" spans="1:32" ht="31.5" x14ac:dyDescent="0.25">
      <c r="B19" s="47" t="s">
        <v>200</v>
      </c>
      <c r="C19" s="40" t="s">
        <v>52</v>
      </c>
      <c r="D19" s="51">
        <v>7</v>
      </c>
      <c r="E19" s="52">
        <v>13.2</v>
      </c>
      <c r="F19" s="44">
        <v>100</v>
      </c>
      <c r="G19" s="684"/>
    </row>
    <row r="20" spans="1:32" x14ac:dyDescent="0.25">
      <c r="B20" s="812" t="s">
        <v>201</v>
      </c>
      <c r="C20" s="812"/>
      <c r="D20" s="812"/>
      <c r="E20" s="812"/>
      <c r="F20" s="812"/>
      <c r="G20" s="684"/>
    </row>
    <row r="21" spans="1:32" x14ac:dyDescent="0.25">
      <c r="B21" s="812" t="s">
        <v>202</v>
      </c>
      <c r="C21" s="812"/>
      <c r="D21" s="812"/>
      <c r="E21" s="812"/>
      <c r="F21" s="812"/>
      <c r="G21" s="684"/>
    </row>
    <row r="22" spans="1:32" ht="31.5" x14ac:dyDescent="0.25">
      <c r="B22" s="42" t="s">
        <v>203</v>
      </c>
      <c r="C22" s="48" t="s">
        <v>66</v>
      </c>
      <c r="D22" s="48">
        <v>1</v>
      </c>
      <c r="E22" s="255">
        <v>1</v>
      </c>
      <c r="F22" s="44">
        <f>SUM(E22/D22)*100</f>
        <v>100</v>
      </c>
      <c r="G22" s="684"/>
    </row>
    <row r="23" spans="1:32" s="35" customFormat="1" x14ac:dyDescent="0.25">
      <c r="A23" s="34"/>
      <c r="B23" s="812" t="s">
        <v>204</v>
      </c>
      <c r="C23" s="812"/>
      <c r="D23" s="812"/>
      <c r="E23" s="812"/>
      <c r="F23" s="812"/>
      <c r="G23" s="684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</row>
    <row r="24" spans="1:32" s="35" customFormat="1" ht="47.25" x14ac:dyDescent="0.25">
      <c r="A24" s="34"/>
      <c r="B24" s="42" t="s">
        <v>205</v>
      </c>
      <c r="C24" s="40" t="s">
        <v>85</v>
      </c>
      <c r="D24" s="48">
        <v>11</v>
      </c>
      <c r="E24" s="48">
        <v>11</v>
      </c>
      <c r="F24" s="44">
        <v>100</v>
      </c>
      <c r="G24" s="684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</row>
    <row r="25" spans="1:32" x14ac:dyDescent="0.25">
      <c r="B25" s="812" t="s">
        <v>206</v>
      </c>
      <c r="C25" s="812"/>
      <c r="D25" s="812"/>
      <c r="E25" s="812"/>
      <c r="F25" s="812"/>
      <c r="G25" s="684"/>
    </row>
    <row r="26" spans="1:32" x14ac:dyDescent="0.25">
      <c r="B26" s="812" t="s">
        <v>207</v>
      </c>
      <c r="C26" s="812"/>
      <c r="D26" s="812"/>
      <c r="E26" s="812"/>
      <c r="F26" s="812"/>
      <c r="G26" s="684"/>
    </row>
    <row r="27" spans="1:32" ht="63.75" customHeight="1" x14ac:dyDescent="0.25">
      <c r="B27" s="42" t="s">
        <v>208</v>
      </c>
      <c r="C27" s="40" t="s">
        <v>85</v>
      </c>
      <c r="D27" s="48">
        <v>3</v>
      </c>
      <c r="E27" s="255">
        <v>1</v>
      </c>
      <c r="F27" s="345">
        <f>E27/D27*100</f>
        <v>33.333333333333329</v>
      </c>
      <c r="G27" s="684"/>
      <c r="H27" s="109" t="s">
        <v>1266</v>
      </c>
    </row>
    <row r="28" spans="1:32" x14ac:dyDescent="0.25">
      <c r="B28" s="42" t="s">
        <v>209</v>
      </c>
      <c r="C28" s="40" t="s">
        <v>85</v>
      </c>
      <c r="D28" s="48">
        <v>0</v>
      </c>
      <c r="E28" s="255">
        <v>0</v>
      </c>
      <c r="F28" s="44"/>
      <c r="G28" s="684"/>
    </row>
    <row r="29" spans="1:32" x14ac:dyDescent="0.25">
      <c r="B29" s="812" t="s">
        <v>210</v>
      </c>
      <c r="C29" s="812"/>
      <c r="D29" s="812"/>
      <c r="E29" s="812"/>
      <c r="F29" s="812"/>
      <c r="G29" s="684"/>
    </row>
    <row r="30" spans="1:32" x14ac:dyDescent="0.25">
      <c r="B30" s="42" t="s">
        <v>211</v>
      </c>
      <c r="C30" s="40" t="s">
        <v>85</v>
      </c>
      <c r="D30" s="48">
        <v>0</v>
      </c>
      <c r="E30" s="48">
        <v>0</v>
      </c>
      <c r="F30" s="44"/>
      <c r="G30" s="684"/>
    </row>
    <row r="31" spans="1:32" x14ac:dyDescent="0.25">
      <c r="B31" s="812" t="s">
        <v>212</v>
      </c>
      <c r="C31" s="812"/>
      <c r="D31" s="812"/>
      <c r="E31" s="812"/>
      <c r="F31" s="812"/>
      <c r="G31" s="684"/>
    </row>
    <row r="32" spans="1:32" ht="31.5" x14ac:dyDescent="0.25">
      <c r="B32" s="42" t="s">
        <v>213</v>
      </c>
      <c r="C32" s="40" t="s">
        <v>85</v>
      </c>
      <c r="D32" s="48">
        <v>5</v>
      </c>
      <c r="E32" s="255">
        <v>5</v>
      </c>
      <c r="F32" s="44">
        <v>100</v>
      </c>
      <c r="G32" s="684"/>
    </row>
    <row r="33" spans="1:32" x14ac:dyDescent="0.25">
      <c r="B33" s="42" t="s">
        <v>214</v>
      </c>
      <c r="C33" s="40" t="s">
        <v>85</v>
      </c>
      <c r="D33" s="48">
        <v>0</v>
      </c>
      <c r="E33" s="255">
        <v>0</v>
      </c>
      <c r="F33" s="44"/>
      <c r="G33" s="684"/>
    </row>
    <row r="34" spans="1:32" x14ac:dyDescent="0.25">
      <c r="B34" s="42" t="s">
        <v>215</v>
      </c>
      <c r="C34" s="40" t="s">
        <v>216</v>
      </c>
      <c r="D34" s="48">
        <v>1000</v>
      </c>
      <c r="E34" s="255">
        <v>1315.5</v>
      </c>
      <c r="F34" s="44">
        <v>100</v>
      </c>
      <c r="G34" s="684"/>
    </row>
    <row r="35" spans="1:32" x14ac:dyDescent="0.25">
      <c r="B35" s="42" t="s">
        <v>217</v>
      </c>
      <c r="C35" s="40" t="s">
        <v>218</v>
      </c>
      <c r="D35" s="48">
        <v>25</v>
      </c>
      <c r="E35" s="255">
        <v>26</v>
      </c>
      <c r="F35" s="44">
        <v>100</v>
      </c>
      <c r="G35" s="684"/>
    </row>
    <row r="36" spans="1:32" x14ac:dyDescent="0.25">
      <c r="B36" s="812" t="s">
        <v>219</v>
      </c>
      <c r="C36" s="812"/>
      <c r="D36" s="812"/>
      <c r="E36" s="812"/>
      <c r="F36" s="812"/>
      <c r="G36" s="684"/>
    </row>
    <row r="37" spans="1:32" x14ac:dyDescent="0.25">
      <c r="B37" s="812" t="s">
        <v>220</v>
      </c>
      <c r="C37" s="812"/>
      <c r="D37" s="812"/>
      <c r="E37" s="812"/>
      <c r="F37" s="812"/>
      <c r="G37" s="684"/>
    </row>
    <row r="38" spans="1:32" x14ac:dyDescent="0.25">
      <c r="B38" s="42" t="s">
        <v>221</v>
      </c>
      <c r="C38" s="40" t="s">
        <v>85</v>
      </c>
      <c r="D38" s="48">
        <v>1</v>
      </c>
      <c r="E38" s="255">
        <v>1</v>
      </c>
      <c r="F38" s="44">
        <f>SUM(E38/D38)*100</f>
        <v>100</v>
      </c>
      <c r="G38" s="684"/>
    </row>
    <row r="39" spans="1:32" x14ac:dyDescent="0.25">
      <c r="B39" s="42" t="s">
        <v>222</v>
      </c>
      <c r="C39" s="40" t="s">
        <v>85</v>
      </c>
      <c r="D39" s="48">
        <v>0</v>
      </c>
      <c r="E39" s="255">
        <v>0</v>
      </c>
      <c r="F39" s="44"/>
      <c r="G39" s="684"/>
    </row>
    <row r="40" spans="1:32" x14ac:dyDescent="0.25">
      <c r="B40" s="42" t="s">
        <v>223</v>
      </c>
      <c r="C40" s="40" t="s">
        <v>85</v>
      </c>
      <c r="D40" s="48">
        <v>0</v>
      </c>
      <c r="E40" s="255">
        <v>0</v>
      </c>
      <c r="F40" s="44"/>
      <c r="G40" s="684"/>
    </row>
    <row r="41" spans="1:32" ht="31.5" x14ac:dyDescent="0.25">
      <c r="B41" s="42" t="s">
        <v>224</v>
      </c>
      <c r="C41" s="40" t="s">
        <v>216</v>
      </c>
      <c r="D41" s="48">
        <v>0</v>
      </c>
      <c r="E41" s="255">
        <v>0</v>
      </c>
      <c r="F41" s="44"/>
      <c r="G41" s="684"/>
    </row>
    <row r="42" spans="1:32" s="311" customFormat="1" ht="25.5" customHeight="1" x14ac:dyDescent="0.25">
      <c r="A42" s="678">
        <v>2</v>
      </c>
      <c r="B42" s="820" t="s">
        <v>1278</v>
      </c>
      <c r="C42" s="846"/>
      <c r="D42" s="846"/>
      <c r="E42" s="846"/>
      <c r="F42" s="846"/>
      <c r="G42" s="685">
        <f>(F44+F45+F46+F47+F48)/5</f>
        <v>90.72727272727272</v>
      </c>
      <c r="H42" s="708"/>
      <c r="I42" s="678"/>
      <c r="J42" s="678"/>
      <c r="K42" s="678"/>
      <c r="L42" s="678"/>
      <c r="M42" s="678"/>
      <c r="N42" s="678"/>
      <c r="O42" s="678"/>
      <c r="P42" s="678"/>
      <c r="Q42" s="678"/>
      <c r="R42" s="678"/>
      <c r="S42" s="678"/>
      <c r="T42" s="678"/>
      <c r="U42" s="678"/>
      <c r="V42" s="678"/>
      <c r="W42" s="678"/>
      <c r="X42" s="678"/>
      <c r="Y42" s="678"/>
      <c r="Z42" s="678"/>
      <c r="AA42" s="678"/>
      <c r="AB42" s="678"/>
      <c r="AC42" s="678"/>
      <c r="AD42" s="678"/>
      <c r="AE42" s="678"/>
      <c r="AF42" s="678"/>
    </row>
    <row r="43" spans="1:32" ht="33.75" customHeight="1" x14ac:dyDescent="0.25">
      <c r="B43" s="794" t="s">
        <v>1279</v>
      </c>
      <c r="C43" s="795"/>
      <c r="D43" s="795"/>
      <c r="E43" s="795"/>
      <c r="F43" s="795"/>
      <c r="G43" s="795"/>
      <c r="H43" s="796"/>
    </row>
    <row r="44" spans="1:32" ht="35.25" customHeight="1" x14ac:dyDescent="0.25">
      <c r="B44" s="53" t="s">
        <v>225</v>
      </c>
      <c r="C44" s="54" t="s">
        <v>226</v>
      </c>
      <c r="D44" s="55">
        <v>562.04</v>
      </c>
      <c r="E44" s="55">
        <v>562.04</v>
      </c>
      <c r="F44" s="44">
        <f>E44/D44*100</f>
        <v>100</v>
      </c>
      <c r="G44" s="686"/>
    </row>
    <row r="45" spans="1:32" ht="53.25" customHeight="1" x14ac:dyDescent="0.25">
      <c r="B45" s="53" t="s">
        <v>227</v>
      </c>
      <c r="C45" s="54" t="s">
        <v>226</v>
      </c>
      <c r="D45" s="55">
        <v>487.24</v>
      </c>
      <c r="E45" s="55">
        <v>489.79</v>
      </c>
      <c r="F45" s="44">
        <v>100</v>
      </c>
      <c r="G45" s="686"/>
    </row>
    <row r="46" spans="1:32" ht="36.75" customHeight="1" x14ac:dyDescent="0.25">
      <c r="B46" s="53" t="s">
        <v>228</v>
      </c>
      <c r="C46" s="54" t="s">
        <v>226</v>
      </c>
      <c r="D46" s="55">
        <v>2</v>
      </c>
      <c r="E46" s="55">
        <v>2</v>
      </c>
      <c r="F46" s="44">
        <f>E46/D46*100</f>
        <v>100</v>
      </c>
      <c r="G46" s="686"/>
    </row>
    <row r="47" spans="1:32" ht="35.25" customHeight="1" x14ac:dyDescent="0.25">
      <c r="B47" s="56" t="s">
        <v>229</v>
      </c>
      <c r="C47" s="50" t="s">
        <v>226</v>
      </c>
      <c r="D47" s="23">
        <v>2</v>
      </c>
      <c r="E47" s="55">
        <v>2.35</v>
      </c>
      <c r="F47" s="44">
        <v>100</v>
      </c>
      <c r="G47" s="682"/>
    </row>
    <row r="48" spans="1:32" ht="66.75" customHeight="1" x14ac:dyDescent="0.25">
      <c r="B48" s="57" t="s">
        <v>230</v>
      </c>
      <c r="C48" s="50" t="s">
        <v>226</v>
      </c>
      <c r="D48" s="23">
        <v>5.5</v>
      </c>
      <c r="E48" s="55">
        <v>2.95</v>
      </c>
      <c r="F48" s="345">
        <f>E48/D48*100</f>
        <v>53.63636363636364</v>
      </c>
      <c r="G48" s="682"/>
      <c r="H48" s="109" t="s">
        <v>1263</v>
      </c>
    </row>
    <row r="49" spans="1:32" s="77" customFormat="1" x14ac:dyDescent="0.25">
      <c r="A49" s="76">
        <v>3</v>
      </c>
      <c r="B49" s="860" t="s">
        <v>231</v>
      </c>
      <c r="C49" s="860"/>
      <c r="D49" s="860"/>
      <c r="E49" s="860"/>
      <c r="F49" s="860"/>
      <c r="G49" s="687">
        <f>AVERAGE(F52,F53,F54,F55,F56,F59,F60,F61,F62,F63,F66,F67,F68,F69,F75,F76,F77,F82,F85)</f>
        <v>87.860954761878318</v>
      </c>
      <c r="H49" s="709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</row>
    <row r="50" spans="1:32" ht="33" customHeight="1" x14ac:dyDescent="0.25">
      <c r="B50" s="797" t="s">
        <v>232</v>
      </c>
      <c r="C50" s="798"/>
      <c r="D50" s="798"/>
      <c r="E50" s="798"/>
      <c r="F50" s="798"/>
      <c r="G50" s="798"/>
      <c r="H50" s="799"/>
    </row>
    <row r="51" spans="1:32" s="35" customFormat="1" ht="19.5" customHeight="1" x14ac:dyDescent="0.25">
      <c r="A51" s="34"/>
      <c r="B51" s="812" t="s">
        <v>889</v>
      </c>
      <c r="C51" s="812"/>
      <c r="D51" s="812"/>
      <c r="E51" s="812"/>
      <c r="F51" s="812"/>
      <c r="G51" s="684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</row>
    <row r="52" spans="1:32" s="35" customFormat="1" ht="47.25" x14ac:dyDescent="0.25">
      <c r="A52" s="34"/>
      <c r="B52" s="242" t="s">
        <v>890</v>
      </c>
      <c r="C52" s="243" t="s">
        <v>52</v>
      </c>
      <c r="D52" s="244">
        <v>100</v>
      </c>
      <c r="E52" s="244">
        <v>100</v>
      </c>
      <c r="F52" s="64">
        <f>SUM(E52/D52*100)</f>
        <v>100</v>
      </c>
      <c r="G52" s="684"/>
      <c r="H52" s="707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</row>
    <row r="53" spans="1:32" s="35" customFormat="1" ht="47.25" x14ac:dyDescent="0.25">
      <c r="A53" s="34"/>
      <c r="B53" s="242" t="s">
        <v>891</v>
      </c>
      <c r="C53" s="243" t="s">
        <v>52</v>
      </c>
      <c r="D53" s="244">
        <v>21.7</v>
      </c>
      <c r="E53" s="244">
        <v>16.7</v>
      </c>
      <c r="F53" s="64">
        <f t="shared" ref="F53" si="0">SUM(E53/D53*100)</f>
        <v>76.958525345622121</v>
      </c>
      <c r="G53" s="684"/>
      <c r="H53" s="707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</row>
    <row r="54" spans="1:32" s="35" customFormat="1" ht="47.25" x14ac:dyDescent="0.25">
      <c r="A54" s="34"/>
      <c r="B54" s="242" t="s">
        <v>892</v>
      </c>
      <c r="C54" s="243" t="s">
        <v>52</v>
      </c>
      <c r="D54" s="244">
        <v>24.4</v>
      </c>
      <c r="E54" s="244">
        <v>65.7</v>
      </c>
      <c r="F54" s="64">
        <v>100</v>
      </c>
      <c r="G54" s="684"/>
      <c r="H54" s="707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</row>
    <row r="55" spans="1:32" s="35" customFormat="1" ht="54" customHeight="1" x14ac:dyDescent="0.25">
      <c r="A55" s="34"/>
      <c r="B55" s="242" t="s">
        <v>893</v>
      </c>
      <c r="C55" s="243" t="s">
        <v>52</v>
      </c>
      <c r="D55" s="244">
        <v>7.5</v>
      </c>
      <c r="E55" s="244">
        <v>17.100000000000001</v>
      </c>
      <c r="F55" s="64">
        <v>100</v>
      </c>
      <c r="G55" s="684"/>
      <c r="H55" s="707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</row>
    <row r="56" spans="1:32" s="35" customFormat="1" ht="76.5" customHeight="1" x14ac:dyDescent="0.25">
      <c r="A56" s="34"/>
      <c r="B56" s="242" t="s">
        <v>894</v>
      </c>
      <c r="C56" s="243" t="s">
        <v>52</v>
      </c>
      <c r="D56" s="244">
        <v>100</v>
      </c>
      <c r="E56" s="244">
        <v>100</v>
      </c>
      <c r="F56" s="64">
        <f>SUM(E56/D56*100)</f>
        <v>100</v>
      </c>
      <c r="G56" s="684"/>
      <c r="H56" s="707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</row>
    <row r="57" spans="1:32" s="35" customFormat="1" ht="86.25" customHeight="1" x14ac:dyDescent="0.25">
      <c r="A57" s="34"/>
      <c r="B57" s="242" t="s">
        <v>895</v>
      </c>
      <c r="C57" s="243" t="s">
        <v>52</v>
      </c>
      <c r="D57" s="244">
        <v>0</v>
      </c>
      <c r="E57" s="244">
        <v>0</v>
      </c>
      <c r="F57" s="64"/>
      <c r="G57" s="684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</row>
    <row r="58" spans="1:32" s="35" customFormat="1" x14ac:dyDescent="0.25">
      <c r="A58" s="34"/>
      <c r="B58" s="812" t="s">
        <v>896</v>
      </c>
      <c r="C58" s="812"/>
      <c r="D58" s="812"/>
      <c r="E58" s="812"/>
      <c r="F58" s="812"/>
      <c r="G58" s="684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</row>
    <row r="59" spans="1:32" s="35" customFormat="1" ht="47.25" x14ac:dyDescent="0.25">
      <c r="A59" s="34"/>
      <c r="B59" s="242" t="s">
        <v>897</v>
      </c>
      <c r="C59" s="243" t="s">
        <v>903</v>
      </c>
      <c r="D59" s="244">
        <v>26.532</v>
      </c>
      <c r="E59" s="244">
        <v>27.64</v>
      </c>
      <c r="F59" s="64">
        <f t="shared" ref="F59" si="1">D59/E59*100</f>
        <v>95.991316931982624</v>
      </c>
      <c r="G59" s="684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</row>
    <row r="60" spans="1:32" s="35" customFormat="1" ht="47.25" x14ac:dyDescent="0.25">
      <c r="A60" s="34"/>
      <c r="B60" s="242" t="s">
        <v>898</v>
      </c>
      <c r="C60" s="243" t="s">
        <v>904</v>
      </c>
      <c r="D60" s="244">
        <v>0.32500000000000001</v>
      </c>
      <c r="E60" s="244">
        <v>0.27800000000000002</v>
      </c>
      <c r="F60" s="64">
        <v>100</v>
      </c>
      <c r="G60" s="684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</row>
    <row r="61" spans="1:32" s="35" customFormat="1" ht="47.25" x14ac:dyDescent="0.25">
      <c r="A61" s="34"/>
      <c r="B61" s="242" t="s">
        <v>899</v>
      </c>
      <c r="C61" s="243" t="s">
        <v>905</v>
      </c>
      <c r="D61" s="244">
        <v>1.4</v>
      </c>
      <c r="E61" s="244">
        <v>1.1000000000000001</v>
      </c>
      <c r="F61" s="64">
        <v>100</v>
      </c>
      <c r="G61" s="684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</row>
    <row r="62" spans="1:32" s="35" customFormat="1" ht="47.25" x14ac:dyDescent="0.25">
      <c r="A62" s="34"/>
      <c r="B62" s="242" t="s">
        <v>900</v>
      </c>
      <c r="C62" s="243" t="s">
        <v>905</v>
      </c>
      <c r="D62" s="244">
        <v>0.3</v>
      </c>
      <c r="E62" s="244">
        <v>0.2</v>
      </c>
      <c r="F62" s="64">
        <v>100</v>
      </c>
      <c r="G62" s="684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</row>
    <row r="63" spans="1:32" s="35" customFormat="1" ht="47.25" x14ac:dyDescent="0.25">
      <c r="A63" s="34"/>
      <c r="B63" s="242" t="s">
        <v>901</v>
      </c>
      <c r="C63" s="243" t="s">
        <v>905</v>
      </c>
      <c r="D63" s="580">
        <v>6.0999999999999999E-2</v>
      </c>
      <c r="E63" s="580">
        <v>5.7000000000000002E-2</v>
      </c>
      <c r="F63" s="64">
        <v>100</v>
      </c>
      <c r="G63" s="684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</row>
    <row r="64" spans="1:32" s="35" customFormat="1" ht="119.25" customHeight="1" x14ac:dyDescent="0.25">
      <c r="A64" s="34"/>
      <c r="B64" s="242" t="s">
        <v>902</v>
      </c>
      <c r="C64" s="243" t="s">
        <v>52</v>
      </c>
      <c r="D64" s="244">
        <v>0</v>
      </c>
      <c r="E64" s="244">
        <v>0</v>
      </c>
      <c r="F64" s="64"/>
      <c r="G64" s="684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</row>
    <row r="65" spans="1:32" s="35" customFormat="1" x14ac:dyDescent="0.25">
      <c r="A65" s="34"/>
      <c r="B65" s="812" t="s">
        <v>906</v>
      </c>
      <c r="C65" s="812"/>
      <c r="D65" s="812"/>
      <c r="E65" s="812"/>
      <c r="F65" s="812"/>
      <c r="G65" s="684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</row>
    <row r="66" spans="1:32" s="35" customFormat="1" ht="31.5" x14ac:dyDescent="0.25">
      <c r="A66" s="34"/>
      <c r="B66" s="242" t="s">
        <v>907</v>
      </c>
      <c r="C66" s="243" t="s">
        <v>904</v>
      </c>
      <c r="D66" s="244">
        <v>0.35</v>
      </c>
      <c r="E66" s="244">
        <v>0.44</v>
      </c>
      <c r="F66" s="64">
        <f>D66/E66*100</f>
        <v>79.545454545454547</v>
      </c>
      <c r="G66" s="684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</row>
    <row r="67" spans="1:32" s="35" customFormat="1" ht="31.5" x14ac:dyDescent="0.25">
      <c r="A67" s="34"/>
      <c r="B67" s="242" t="s">
        <v>908</v>
      </c>
      <c r="C67" s="243" t="s">
        <v>905</v>
      </c>
      <c r="D67" s="244">
        <v>1.39</v>
      </c>
      <c r="E67" s="244">
        <v>7.69</v>
      </c>
      <c r="F67" s="64">
        <f t="shared" ref="F67" si="2">D67/E67*100</f>
        <v>18.075422626788036</v>
      </c>
      <c r="G67" s="684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</row>
    <row r="68" spans="1:32" s="35" customFormat="1" ht="31.5" x14ac:dyDescent="0.25">
      <c r="A68" s="34"/>
      <c r="B68" s="242" t="s">
        <v>909</v>
      </c>
      <c r="C68" s="243" t="s">
        <v>905</v>
      </c>
      <c r="D68" s="244">
        <v>0.94</v>
      </c>
      <c r="E68" s="244">
        <v>0.57999999999999996</v>
      </c>
      <c r="F68" s="64">
        <v>100</v>
      </c>
      <c r="G68" s="684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</row>
    <row r="69" spans="1:32" s="35" customFormat="1" ht="31.5" x14ac:dyDescent="0.25">
      <c r="A69" s="34"/>
      <c r="B69" s="242" t="s">
        <v>910</v>
      </c>
      <c r="C69" s="243" t="s">
        <v>903</v>
      </c>
      <c r="D69" s="244">
        <v>32.4</v>
      </c>
      <c r="E69" s="244">
        <v>14.31</v>
      </c>
      <c r="F69" s="64">
        <v>100</v>
      </c>
      <c r="G69" s="684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</row>
    <row r="70" spans="1:32" s="35" customFormat="1" ht="47.25" x14ac:dyDescent="0.25">
      <c r="A70" s="34"/>
      <c r="B70" s="242" t="s">
        <v>911</v>
      </c>
      <c r="C70" s="243" t="s">
        <v>914</v>
      </c>
      <c r="D70" s="244">
        <v>0</v>
      </c>
      <c r="E70" s="244">
        <v>0</v>
      </c>
      <c r="F70" s="64"/>
      <c r="G70" s="684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</row>
    <row r="71" spans="1:32" s="35" customFormat="1" ht="31.5" x14ac:dyDescent="0.25">
      <c r="A71" s="34"/>
      <c r="B71" s="242" t="s">
        <v>912</v>
      </c>
      <c r="C71" s="243" t="s">
        <v>915</v>
      </c>
      <c r="D71" s="244">
        <v>0</v>
      </c>
      <c r="E71" s="244">
        <v>0</v>
      </c>
      <c r="F71" s="64"/>
      <c r="G71" s="684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</row>
    <row r="72" spans="1:32" s="35" customFormat="1" ht="36" customHeight="1" x14ac:dyDescent="0.25">
      <c r="A72" s="34"/>
      <c r="B72" s="242" t="s">
        <v>913</v>
      </c>
      <c r="C72" s="243" t="s">
        <v>916</v>
      </c>
      <c r="D72" s="48">
        <v>0</v>
      </c>
      <c r="E72" s="48">
        <v>0</v>
      </c>
      <c r="F72" s="44"/>
      <c r="G72" s="684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</row>
    <row r="73" spans="1:32" s="35" customFormat="1" x14ac:dyDescent="0.25">
      <c r="A73" s="34"/>
      <c r="B73" s="812" t="s">
        <v>917</v>
      </c>
      <c r="C73" s="812"/>
      <c r="D73" s="812"/>
      <c r="E73" s="812"/>
      <c r="F73" s="812"/>
      <c r="G73" s="684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</row>
    <row r="74" spans="1:32" s="35" customFormat="1" ht="31.5" x14ac:dyDescent="0.25">
      <c r="A74" s="34"/>
      <c r="B74" s="245" t="s">
        <v>918</v>
      </c>
      <c r="C74" s="243" t="s">
        <v>925</v>
      </c>
      <c r="D74" s="244">
        <v>0</v>
      </c>
      <c r="E74" s="244">
        <v>0</v>
      </c>
      <c r="F74" s="64"/>
      <c r="G74" s="684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</row>
    <row r="75" spans="1:32" s="35" customFormat="1" ht="31.5" x14ac:dyDescent="0.25">
      <c r="A75" s="34"/>
      <c r="B75" s="242" t="s">
        <v>919</v>
      </c>
      <c r="C75" s="243" t="s">
        <v>926</v>
      </c>
      <c r="D75" s="244">
        <v>0.18</v>
      </c>
      <c r="E75" s="244">
        <v>0.17</v>
      </c>
      <c r="F75" s="64">
        <v>100</v>
      </c>
      <c r="G75" s="684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</row>
    <row r="76" spans="1:32" s="35" customFormat="1" ht="31.5" x14ac:dyDescent="0.25">
      <c r="A76" s="34"/>
      <c r="B76" s="242" t="s">
        <v>920</v>
      </c>
      <c r="C76" s="243" t="s">
        <v>927</v>
      </c>
      <c r="D76" s="244">
        <v>0.15</v>
      </c>
      <c r="E76" s="244">
        <v>0.28000000000000003</v>
      </c>
      <c r="F76" s="64">
        <f>D76/E76*100</f>
        <v>53.571428571428569</v>
      </c>
      <c r="G76" s="684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</row>
    <row r="77" spans="1:32" s="35" customFormat="1" ht="31.5" x14ac:dyDescent="0.25">
      <c r="A77" s="34"/>
      <c r="B77" s="242" t="s">
        <v>921</v>
      </c>
      <c r="C77" s="243" t="s">
        <v>52</v>
      </c>
      <c r="D77" s="244">
        <v>32.58</v>
      </c>
      <c r="E77" s="244">
        <v>36</v>
      </c>
      <c r="F77" s="64">
        <f>D77/E77*100</f>
        <v>90.499999999999986</v>
      </c>
      <c r="G77" s="684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</row>
    <row r="78" spans="1:32" s="35" customFormat="1" ht="31.5" x14ac:dyDescent="0.25">
      <c r="A78" s="34"/>
      <c r="B78" s="242" t="s">
        <v>922</v>
      </c>
      <c r="C78" s="243" t="s">
        <v>52</v>
      </c>
      <c r="D78" s="244">
        <v>0</v>
      </c>
      <c r="E78" s="244">
        <v>0</v>
      </c>
      <c r="F78" s="64"/>
      <c r="G78" s="684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</row>
    <row r="79" spans="1:32" s="35" customFormat="1" ht="31.5" x14ac:dyDescent="0.25">
      <c r="A79" s="34"/>
      <c r="B79" s="242" t="s">
        <v>923</v>
      </c>
      <c r="C79" s="243" t="s">
        <v>928</v>
      </c>
      <c r="D79" s="244">
        <v>0</v>
      </c>
      <c r="E79" s="244">
        <v>0</v>
      </c>
      <c r="F79" s="64"/>
      <c r="G79" s="684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</row>
    <row r="80" spans="1:32" s="35" customFormat="1" ht="31.5" x14ac:dyDescent="0.25">
      <c r="A80" s="34"/>
      <c r="B80" s="242" t="s">
        <v>924</v>
      </c>
      <c r="C80" s="243" t="s">
        <v>927</v>
      </c>
      <c r="D80" s="48">
        <v>0</v>
      </c>
      <c r="E80" s="48">
        <v>0</v>
      </c>
      <c r="F80" s="44"/>
      <c r="G80" s="684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</row>
    <row r="81" spans="1:32" s="35" customFormat="1" x14ac:dyDescent="0.25">
      <c r="A81" s="34"/>
      <c r="B81" s="812" t="s">
        <v>929</v>
      </c>
      <c r="C81" s="812"/>
      <c r="D81" s="812"/>
      <c r="E81" s="812"/>
      <c r="F81" s="812"/>
      <c r="G81" s="684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</row>
    <row r="82" spans="1:32" s="35" customFormat="1" ht="63" x14ac:dyDescent="0.25">
      <c r="A82" s="34"/>
      <c r="B82" s="245" t="s">
        <v>930</v>
      </c>
      <c r="C82" s="243" t="s">
        <v>931</v>
      </c>
      <c r="D82" s="244">
        <v>5.71</v>
      </c>
      <c r="E82" s="244">
        <v>7.34</v>
      </c>
      <c r="F82" s="64">
        <f>D82/E82*100</f>
        <v>77.792915531335154</v>
      </c>
      <c r="G82" s="684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</row>
    <row r="83" spans="1:32" s="35" customFormat="1" x14ac:dyDescent="0.25">
      <c r="A83" s="34"/>
      <c r="B83" s="812" t="s">
        <v>932</v>
      </c>
      <c r="C83" s="812"/>
      <c r="D83" s="812"/>
      <c r="E83" s="812"/>
      <c r="F83" s="812"/>
      <c r="G83" s="684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</row>
    <row r="84" spans="1:32" s="35" customFormat="1" ht="31.5" x14ac:dyDescent="0.25">
      <c r="A84" s="34"/>
      <c r="B84" s="27" t="s">
        <v>933</v>
      </c>
      <c r="C84" s="246" t="s">
        <v>85</v>
      </c>
      <c r="D84" s="244">
        <v>0</v>
      </c>
      <c r="E84" s="244">
        <v>0</v>
      </c>
      <c r="F84" s="64"/>
      <c r="G84" s="684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</row>
    <row r="85" spans="1:32" s="35" customFormat="1" ht="31.5" x14ac:dyDescent="0.25">
      <c r="A85" s="34"/>
      <c r="B85" s="27" t="s">
        <v>934</v>
      </c>
      <c r="C85" s="246" t="s">
        <v>85</v>
      </c>
      <c r="D85" s="244">
        <v>13</v>
      </c>
      <c r="E85" s="244">
        <v>10</v>
      </c>
      <c r="F85" s="64">
        <f>E85/D85*100</f>
        <v>76.923076923076934</v>
      </c>
      <c r="G85" s="684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</row>
    <row r="86" spans="1:32" s="35" customFormat="1" ht="31.5" x14ac:dyDescent="0.25">
      <c r="A86" s="34"/>
      <c r="B86" s="27" t="s">
        <v>935</v>
      </c>
      <c r="C86" s="246" t="s">
        <v>85</v>
      </c>
      <c r="D86" s="244">
        <v>0</v>
      </c>
      <c r="E86" s="244">
        <v>0</v>
      </c>
      <c r="F86" s="64"/>
      <c r="G86" s="684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</row>
    <row r="87" spans="1:32" s="311" customFormat="1" ht="34.5" customHeight="1" x14ac:dyDescent="0.25">
      <c r="A87" s="678">
        <v>4</v>
      </c>
      <c r="B87" s="820" t="s">
        <v>233</v>
      </c>
      <c r="C87" s="820"/>
      <c r="D87" s="820"/>
      <c r="E87" s="842"/>
      <c r="F87" s="842"/>
      <c r="G87" s="681">
        <f>SUM(F91+F92+F93+F94+F95+F96+F97+F99+F101+F102+F103+F104+F105+F106+F110+F111+F112+F114+F116+F115+F118+F119+F120+F122+F123+F125+F126+F127+F129+F132+F138+F141+F143+F146+F130+F131+F134)/37</f>
        <v>88.063101906542315</v>
      </c>
      <c r="H87" s="708"/>
      <c r="I87" s="678"/>
      <c r="J87" s="678"/>
      <c r="K87" s="678"/>
      <c r="L87" s="678"/>
      <c r="M87" s="678"/>
      <c r="N87" s="678"/>
      <c r="O87" s="678"/>
      <c r="P87" s="678"/>
      <c r="Q87" s="678"/>
      <c r="R87" s="678"/>
      <c r="S87" s="678"/>
      <c r="T87" s="678"/>
      <c r="U87" s="678"/>
      <c r="V87" s="678"/>
      <c r="W87" s="678"/>
      <c r="X87" s="678"/>
      <c r="Y87" s="678"/>
      <c r="Z87" s="678"/>
      <c r="AA87" s="678"/>
      <c r="AB87" s="678"/>
      <c r="AC87" s="678"/>
      <c r="AD87" s="678"/>
      <c r="AE87" s="678"/>
      <c r="AF87" s="678"/>
    </row>
    <row r="88" spans="1:32" s="60" customFormat="1" ht="32.25" customHeight="1" x14ac:dyDescent="0.25">
      <c r="A88" s="59"/>
      <c r="B88" s="773" t="s">
        <v>1080</v>
      </c>
      <c r="C88" s="774"/>
      <c r="D88" s="774"/>
      <c r="E88" s="774"/>
      <c r="F88" s="774"/>
      <c r="G88" s="774"/>
      <c r="H88" s="775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</row>
    <row r="89" spans="1:32" s="60" customFormat="1" x14ac:dyDescent="0.25">
      <c r="A89" s="59"/>
      <c r="B89" s="824" t="s">
        <v>234</v>
      </c>
      <c r="C89" s="824"/>
      <c r="D89" s="824"/>
      <c r="E89" s="824"/>
      <c r="F89" s="824"/>
      <c r="G89" s="688"/>
      <c r="H89" s="431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</row>
    <row r="90" spans="1:32" s="60" customFormat="1" x14ac:dyDescent="0.25">
      <c r="A90" s="59"/>
      <c r="B90" s="866" t="s">
        <v>235</v>
      </c>
      <c r="C90" s="866"/>
      <c r="D90" s="866"/>
      <c r="E90" s="866"/>
      <c r="F90" s="866"/>
      <c r="G90" s="688"/>
      <c r="H90" s="431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</row>
    <row r="91" spans="1:32" s="60" customFormat="1" x14ac:dyDescent="0.25">
      <c r="A91" s="59"/>
      <c r="B91" s="62" t="s">
        <v>236</v>
      </c>
      <c r="C91" s="256" t="s">
        <v>237</v>
      </c>
      <c r="D91" s="325">
        <v>4973</v>
      </c>
      <c r="E91" s="327">
        <v>4712</v>
      </c>
      <c r="F91" s="64">
        <f>IF((E91/D91*100)&gt;100,"100",E91/D91*100)</f>
        <v>94.751658958375231</v>
      </c>
      <c r="G91" s="688"/>
      <c r="H91" s="431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</row>
    <row r="92" spans="1:32" s="60" customFormat="1" x14ac:dyDescent="0.25">
      <c r="A92" s="59"/>
      <c r="B92" s="62" t="s">
        <v>238</v>
      </c>
      <c r="C92" s="256" t="s">
        <v>237</v>
      </c>
      <c r="D92" s="328">
        <v>2174</v>
      </c>
      <c r="E92" s="329">
        <v>2100</v>
      </c>
      <c r="F92" s="64">
        <f t="shared" ref="F92:F106" si="3">IF((E92/D92*100)&gt;100,"100",E92/D92*100)</f>
        <v>96.596136154553818</v>
      </c>
      <c r="G92" s="688"/>
      <c r="H92" s="431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</row>
    <row r="93" spans="1:32" s="60" customFormat="1" x14ac:dyDescent="0.25">
      <c r="A93" s="59"/>
      <c r="B93" s="62" t="s">
        <v>239</v>
      </c>
      <c r="C93" s="256" t="s">
        <v>237</v>
      </c>
      <c r="D93" s="328">
        <v>4893</v>
      </c>
      <c r="E93" s="326">
        <v>4644</v>
      </c>
      <c r="F93" s="64">
        <f t="shared" si="3"/>
        <v>94.911097486204781</v>
      </c>
      <c r="G93" s="688"/>
      <c r="H93" s="431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</row>
    <row r="94" spans="1:32" s="60" customFormat="1" x14ac:dyDescent="0.25">
      <c r="A94" s="59"/>
      <c r="B94" s="62" t="s">
        <v>240</v>
      </c>
      <c r="C94" s="256" t="s">
        <v>237</v>
      </c>
      <c r="D94" s="330">
        <v>2970</v>
      </c>
      <c r="E94" s="326">
        <v>3212</v>
      </c>
      <c r="F94" s="64" t="str">
        <f t="shared" si="3"/>
        <v>100</v>
      </c>
      <c r="G94" s="688"/>
      <c r="H94" s="431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</row>
    <row r="95" spans="1:32" s="60" customFormat="1" ht="29.25" customHeight="1" x14ac:dyDescent="0.25">
      <c r="A95" s="59"/>
      <c r="B95" s="62" t="s">
        <v>241</v>
      </c>
      <c r="C95" s="256" t="s">
        <v>237</v>
      </c>
      <c r="D95" s="325">
        <v>120</v>
      </c>
      <c r="E95" s="326">
        <v>21</v>
      </c>
      <c r="F95" s="64">
        <f t="shared" si="3"/>
        <v>17.5</v>
      </c>
      <c r="G95" s="688"/>
      <c r="H95" s="861" t="s">
        <v>1257</v>
      </c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</row>
    <row r="96" spans="1:32" s="60" customFormat="1" ht="38.25" customHeight="1" x14ac:dyDescent="0.25">
      <c r="A96" s="59"/>
      <c r="B96" s="62" t="s">
        <v>242</v>
      </c>
      <c r="C96" s="256" t="s">
        <v>237</v>
      </c>
      <c r="D96" s="325">
        <v>32</v>
      </c>
      <c r="E96" s="331">
        <v>12</v>
      </c>
      <c r="F96" s="64">
        <f t="shared" si="3"/>
        <v>37.5</v>
      </c>
      <c r="G96" s="688"/>
      <c r="H96" s="861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</row>
    <row r="97" spans="1:32" s="60" customFormat="1" x14ac:dyDescent="0.25">
      <c r="A97" s="59"/>
      <c r="B97" s="62" t="s">
        <v>243</v>
      </c>
      <c r="C97" s="256" t="s">
        <v>237</v>
      </c>
      <c r="D97" s="328">
        <v>1146</v>
      </c>
      <c r="E97" s="326">
        <v>1074</v>
      </c>
      <c r="F97" s="64">
        <f t="shared" si="3"/>
        <v>93.717277486911001</v>
      </c>
      <c r="G97" s="688"/>
      <c r="H97" s="431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</row>
    <row r="98" spans="1:32" s="60" customFormat="1" x14ac:dyDescent="0.25">
      <c r="A98" s="59"/>
      <c r="B98" s="62" t="s">
        <v>244</v>
      </c>
      <c r="C98" s="256" t="s">
        <v>237</v>
      </c>
      <c r="D98" s="65">
        <v>243</v>
      </c>
      <c r="E98" s="63">
        <v>0</v>
      </c>
      <c r="F98" s="64">
        <f t="shared" si="3"/>
        <v>0</v>
      </c>
      <c r="G98" s="688"/>
      <c r="H98" s="431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</row>
    <row r="99" spans="1:32" s="60" customFormat="1" x14ac:dyDescent="0.25">
      <c r="A99" s="59"/>
      <c r="B99" s="62" t="s">
        <v>245</v>
      </c>
      <c r="C99" s="256" t="s">
        <v>237</v>
      </c>
      <c r="D99" s="65">
        <v>2142</v>
      </c>
      <c r="E99" s="63">
        <v>1004</v>
      </c>
      <c r="F99" s="64">
        <f t="shared" si="3"/>
        <v>46.87208216619981</v>
      </c>
      <c r="G99" s="689"/>
      <c r="H99" s="431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</row>
    <row r="100" spans="1:32" s="60" customFormat="1" x14ac:dyDescent="0.25">
      <c r="A100" s="59"/>
      <c r="B100" s="866" t="s">
        <v>246</v>
      </c>
      <c r="C100" s="866"/>
      <c r="D100" s="866"/>
      <c r="E100" s="866"/>
      <c r="F100" s="866"/>
      <c r="G100" s="688"/>
      <c r="H100" s="431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</row>
    <row r="101" spans="1:32" s="60" customFormat="1" x14ac:dyDescent="0.25">
      <c r="A101" s="59"/>
      <c r="B101" s="62" t="s">
        <v>247</v>
      </c>
      <c r="C101" s="256" t="s">
        <v>248</v>
      </c>
      <c r="D101" s="325">
        <v>1047.08</v>
      </c>
      <c r="E101" s="333">
        <v>830.3</v>
      </c>
      <c r="F101" s="64">
        <f t="shared" si="3"/>
        <v>79.296710853038931</v>
      </c>
      <c r="G101" s="688"/>
      <c r="H101" s="431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</row>
    <row r="102" spans="1:32" s="60" customFormat="1" x14ac:dyDescent="0.25">
      <c r="A102" s="59"/>
      <c r="B102" s="62" t="s">
        <v>249</v>
      </c>
      <c r="C102" s="256" t="s">
        <v>248</v>
      </c>
      <c r="D102" s="325">
        <v>119</v>
      </c>
      <c r="E102" s="332">
        <v>119.3</v>
      </c>
      <c r="F102" s="64" t="str">
        <f t="shared" si="3"/>
        <v>100</v>
      </c>
      <c r="G102" s="688"/>
      <c r="H102" s="431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</row>
    <row r="103" spans="1:32" s="60" customFormat="1" x14ac:dyDescent="0.25">
      <c r="A103" s="59"/>
      <c r="B103" s="62" t="s">
        <v>250</v>
      </c>
      <c r="C103" s="256" t="s">
        <v>248</v>
      </c>
      <c r="D103" s="328">
        <v>4356.84</v>
      </c>
      <c r="E103" s="332">
        <v>3544.7</v>
      </c>
      <c r="F103" s="64">
        <f t="shared" si="3"/>
        <v>81.3594256387657</v>
      </c>
      <c r="G103" s="688"/>
      <c r="H103" s="431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</row>
    <row r="104" spans="1:32" s="60" customFormat="1" x14ac:dyDescent="0.25">
      <c r="A104" s="59"/>
      <c r="B104" s="62" t="s">
        <v>251</v>
      </c>
      <c r="C104" s="256" t="s">
        <v>248</v>
      </c>
      <c r="D104" s="328">
        <v>3200</v>
      </c>
      <c r="E104" s="334">
        <v>3203.5940000000001</v>
      </c>
      <c r="F104" s="64" t="str">
        <f t="shared" si="3"/>
        <v>100</v>
      </c>
      <c r="G104" s="688"/>
      <c r="H104" s="431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</row>
    <row r="105" spans="1:32" s="60" customFormat="1" x14ac:dyDescent="0.25">
      <c r="A105" s="59"/>
      <c r="B105" s="62" t="s">
        <v>252</v>
      </c>
      <c r="C105" s="256" t="s">
        <v>253</v>
      </c>
      <c r="D105" s="332">
        <v>1518.28119110441</v>
      </c>
      <c r="E105" s="332">
        <v>1717</v>
      </c>
      <c r="F105" s="64" t="str">
        <f t="shared" si="3"/>
        <v>100</v>
      </c>
      <c r="G105" s="688"/>
      <c r="H105" s="431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</row>
    <row r="106" spans="1:32" s="60" customFormat="1" x14ac:dyDescent="0.25">
      <c r="A106" s="59"/>
      <c r="B106" s="62" t="s">
        <v>254</v>
      </c>
      <c r="C106" s="256" t="s">
        <v>255</v>
      </c>
      <c r="D106" s="325">
        <v>495.1</v>
      </c>
      <c r="E106" s="335">
        <v>469.3</v>
      </c>
      <c r="F106" s="64">
        <f t="shared" si="3"/>
        <v>94.788931528984051</v>
      </c>
      <c r="G106" s="688"/>
      <c r="H106" s="431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</row>
    <row r="107" spans="1:32" s="60" customFormat="1" x14ac:dyDescent="0.25">
      <c r="A107" s="59"/>
      <c r="B107" s="850" t="s">
        <v>256</v>
      </c>
      <c r="C107" s="850"/>
      <c r="D107" s="850"/>
      <c r="E107" s="850"/>
      <c r="F107" s="850"/>
      <c r="G107" s="688"/>
      <c r="H107" s="431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</row>
    <row r="108" spans="1:32" s="60" customFormat="1" x14ac:dyDescent="0.25">
      <c r="A108" s="59"/>
      <c r="B108" s="865" t="s">
        <v>1082</v>
      </c>
      <c r="C108" s="865"/>
      <c r="D108" s="865"/>
      <c r="E108" s="865"/>
      <c r="F108" s="865"/>
      <c r="G108" s="688"/>
      <c r="H108" s="431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</row>
    <row r="109" spans="1:32" s="60" customFormat="1" x14ac:dyDescent="0.25">
      <c r="A109" s="59"/>
      <c r="B109" s="865" t="s">
        <v>257</v>
      </c>
      <c r="C109" s="865"/>
      <c r="D109" s="865"/>
      <c r="E109" s="865"/>
      <c r="F109" s="865"/>
      <c r="G109" s="688"/>
      <c r="H109" s="431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</row>
    <row r="110" spans="1:32" s="60" customFormat="1" x14ac:dyDescent="0.25">
      <c r="A110" s="59"/>
      <c r="B110" s="69" t="s">
        <v>258</v>
      </c>
      <c r="C110" s="258" t="s">
        <v>259</v>
      </c>
      <c r="D110" s="260">
        <v>38</v>
      </c>
      <c r="E110" s="256">
        <v>38.5</v>
      </c>
      <c r="F110" s="64" t="str">
        <f>IF((E110/D110*100)&gt;100,"100",E110/D110*100)</f>
        <v>100</v>
      </c>
      <c r="G110" s="688"/>
      <c r="H110" s="431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</row>
    <row r="111" spans="1:32" s="60" customFormat="1" x14ac:dyDescent="0.25">
      <c r="A111" s="59"/>
      <c r="B111" s="69" t="s">
        <v>260</v>
      </c>
      <c r="C111" s="258" t="s">
        <v>259</v>
      </c>
      <c r="D111" s="260">
        <v>13</v>
      </c>
      <c r="E111" s="67">
        <v>13.314000000000002</v>
      </c>
      <c r="F111" s="64" t="str">
        <f>IF((E111/D111*100)&gt;100,"100",E111/D111*100)</f>
        <v>100</v>
      </c>
      <c r="G111" s="688"/>
      <c r="H111" s="431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</row>
    <row r="112" spans="1:32" s="60" customFormat="1" x14ac:dyDescent="0.25">
      <c r="A112" s="59"/>
      <c r="B112" s="69" t="s">
        <v>261</v>
      </c>
      <c r="C112" s="258" t="s">
        <v>259</v>
      </c>
      <c r="D112" s="260">
        <v>2.395</v>
      </c>
      <c r="E112" s="66">
        <v>2.395</v>
      </c>
      <c r="F112" s="64">
        <f>IF((E112/D112*100)&gt;100,"100",E112/D112*100)</f>
        <v>100</v>
      </c>
      <c r="G112" s="688"/>
      <c r="H112" s="431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</row>
    <row r="113" spans="1:32" s="60" customFormat="1" x14ac:dyDescent="0.25">
      <c r="A113" s="59"/>
      <c r="B113" s="865" t="s">
        <v>262</v>
      </c>
      <c r="C113" s="865"/>
      <c r="D113" s="865"/>
      <c r="E113" s="865"/>
      <c r="F113" s="865"/>
      <c r="G113" s="688"/>
      <c r="H113" s="431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</row>
    <row r="114" spans="1:32" s="60" customFormat="1" x14ac:dyDescent="0.25">
      <c r="A114" s="59"/>
      <c r="B114" s="69" t="s">
        <v>258</v>
      </c>
      <c r="C114" s="258" t="s">
        <v>263</v>
      </c>
      <c r="D114" s="97">
        <v>2760</v>
      </c>
      <c r="E114" s="301">
        <v>2770.4</v>
      </c>
      <c r="F114" s="64" t="str">
        <f>IF((E114/D114*100)&gt;100,"100",E114/D114*100)</f>
        <v>100</v>
      </c>
      <c r="G114" s="688"/>
      <c r="H114" s="431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</row>
    <row r="115" spans="1:32" s="60" customFormat="1" x14ac:dyDescent="0.25">
      <c r="A115" s="59"/>
      <c r="B115" s="69" t="s">
        <v>260</v>
      </c>
      <c r="C115" s="258" t="s">
        <v>263</v>
      </c>
      <c r="D115" s="256">
        <v>2702</v>
      </c>
      <c r="E115" s="65">
        <v>2708.43</v>
      </c>
      <c r="F115" s="64" t="str">
        <f>IF((E115/D115*100)&gt;100,"100",E115/D115*100)</f>
        <v>100</v>
      </c>
      <c r="G115" s="688"/>
      <c r="H115" s="431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</row>
    <row r="116" spans="1:32" s="60" customFormat="1" x14ac:dyDescent="0.25">
      <c r="A116" s="59"/>
      <c r="B116" s="69" t="s">
        <v>261</v>
      </c>
      <c r="C116" s="258" t="s">
        <v>263</v>
      </c>
      <c r="D116" s="256">
        <v>498</v>
      </c>
      <c r="E116" s="65">
        <v>492.2</v>
      </c>
      <c r="F116" s="64">
        <f>IF((E116/D116*100)&gt;100,"100",E116/D116*100)</f>
        <v>98.835341365461844</v>
      </c>
      <c r="G116" s="688"/>
      <c r="H116" s="431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</row>
    <row r="117" spans="1:32" s="60" customFormat="1" x14ac:dyDescent="0.25">
      <c r="A117" s="59"/>
      <c r="B117" s="865" t="s">
        <v>264</v>
      </c>
      <c r="C117" s="865"/>
      <c r="D117" s="865"/>
      <c r="E117" s="865"/>
      <c r="F117" s="865"/>
      <c r="G117" s="688"/>
      <c r="H117" s="431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</row>
    <row r="118" spans="1:32" s="60" customFormat="1" x14ac:dyDescent="0.25">
      <c r="A118" s="59"/>
      <c r="B118" s="69" t="s">
        <v>258</v>
      </c>
      <c r="C118" s="258" t="s">
        <v>265</v>
      </c>
      <c r="D118" s="336">
        <f>D114/D110</f>
        <v>72.631578947368425</v>
      </c>
      <c r="E118" s="68">
        <f>E114/E110</f>
        <v>71.958441558441564</v>
      </c>
      <c r="F118" s="64">
        <f>IF((E118/D118*100)&gt;100,"100",E118/D118*100)</f>
        <v>99.073216638434033</v>
      </c>
      <c r="G118" s="688"/>
      <c r="H118" s="431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</row>
    <row r="119" spans="1:32" s="60" customFormat="1" x14ac:dyDescent="0.25">
      <c r="A119" s="59"/>
      <c r="B119" s="69" t="s">
        <v>260</v>
      </c>
      <c r="C119" s="258" t="s">
        <v>265</v>
      </c>
      <c r="D119" s="336">
        <f>D115/D111</f>
        <v>207.84615384615384</v>
      </c>
      <c r="E119" s="68">
        <f>E115/E111</f>
        <v>203.42721946822888</v>
      </c>
      <c r="F119" s="64">
        <f t="shared" ref="F119:F134" si="4">IF((E119/D119*100)&gt;100,"100",E119/D119*100)</f>
        <v>97.873939788563121</v>
      </c>
      <c r="G119" s="688"/>
      <c r="H119" s="431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</row>
    <row r="120" spans="1:32" s="60" customFormat="1" x14ac:dyDescent="0.25">
      <c r="A120" s="59"/>
      <c r="B120" s="69" t="s">
        <v>261</v>
      </c>
      <c r="C120" s="258" t="s">
        <v>265</v>
      </c>
      <c r="D120" s="336">
        <f>D116/D112/100</f>
        <v>2.079331941544885</v>
      </c>
      <c r="E120" s="68">
        <f>E116/E112/100</f>
        <v>2.0551148225469729</v>
      </c>
      <c r="F120" s="64">
        <f t="shared" si="4"/>
        <v>98.835341365461858</v>
      </c>
      <c r="G120" s="688"/>
      <c r="H120" s="431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</row>
    <row r="121" spans="1:32" s="60" customFormat="1" x14ac:dyDescent="0.25">
      <c r="A121" s="59"/>
      <c r="B121" s="865" t="s">
        <v>1081</v>
      </c>
      <c r="C121" s="865"/>
      <c r="D121" s="865"/>
      <c r="E121" s="865"/>
      <c r="F121" s="865"/>
      <c r="G121" s="688"/>
      <c r="H121" s="431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</row>
    <row r="122" spans="1:32" s="60" customFormat="1" x14ac:dyDescent="0.25">
      <c r="A122" s="59"/>
      <c r="B122" s="70" t="s">
        <v>266</v>
      </c>
      <c r="C122" s="256" t="s">
        <v>248</v>
      </c>
      <c r="D122" s="256">
        <v>13527</v>
      </c>
      <c r="E122" s="67">
        <v>13991.2</v>
      </c>
      <c r="F122" s="64" t="str">
        <f t="shared" si="4"/>
        <v>100</v>
      </c>
      <c r="G122" s="688"/>
      <c r="H122" s="431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</row>
    <row r="123" spans="1:32" s="60" customFormat="1" x14ac:dyDescent="0.25">
      <c r="A123" s="59"/>
      <c r="B123" s="70" t="s">
        <v>267</v>
      </c>
      <c r="C123" s="256" t="s">
        <v>248</v>
      </c>
      <c r="D123" s="256">
        <v>300</v>
      </c>
      <c r="E123" s="65">
        <v>797</v>
      </c>
      <c r="F123" s="64" t="str">
        <f t="shared" si="4"/>
        <v>100</v>
      </c>
      <c r="G123" s="688"/>
      <c r="H123" s="431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</row>
    <row r="124" spans="1:32" s="60" customFormat="1" x14ac:dyDescent="0.25">
      <c r="A124" s="59"/>
      <c r="B124" s="851" t="s">
        <v>268</v>
      </c>
      <c r="C124" s="851"/>
      <c r="D124" s="851"/>
      <c r="E124" s="851"/>
      <c r="F124" s="851"/>
      <c r="G124" s="851"/>
      <c r="H124" s="431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</row>
    <row r="125" spans="1:32" s="60" customFormat="1" x14ac:dyDescent="0.25">
      <c r="A125" s="59"/>
      <c r="B125" s="62" t="s">
        <v>269</v>
      </c>
      <c r="C125" s="256" t="s">
        <v>270</v>
      </c>
      <c r="D125" s="256">
        <v>1.5</v>
      </c>
      <c r="E125" s="66">
        <v>1.02</v>
      </c>
      <c r="F125" s="64">
        <f t="shared" si="4"/>
        <v>68</v>
      </c>
      <c r="G125" s="688"/>
      <c r="H125" s="431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</row>
    <row r="126" spans="1:32" s="60" customFormat="1" x14ac:dyDescent="0.25">
      <c r="A126" s="59"/>
      <c r="B126" s="62" t="s">
        <v>271</v>
      </c>
      <c r="C126" s="256" t="s">
        <v>259</v>
      </c>
      <c r="D126" s="256">
        <v>21</v>
      </c>
      <c r="E126" s="64">
        <v>162</v>
      </c>
      <c r="F126" s="64" t="str">
        <f t="shared" si="4"/>
        <v>100</v>
      </c>
      <c r="G126" s="688"/>
      <c r="H126" s="431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</row>
    <row r="127" spans="1:32" s="60" customFormat="1" x14ac:dyDescent="0.25">
      <c r="A127" s="59"/>
      <c r="B127" s="62" t="s">
        <v>272</v>
      </c>
      <c r="C127" s="256" t="s">
        <v>248</v>
      </c>
      <c r="D127" s="256">
        <v>48</v>
      </c>
      <c r="E127" s="67">
        <v>36.700000000000003</v>
      </c>
      <c r="F127" s="64">
        <f t="shared" si="4"/>
        <v>76.458333333333343</v>
      </c>
      <c r="G127" s="688"/>
      <c r="H127" s="431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</row>
    <row r="128" spans="1:32" s="60" customFormat="1" x14ac:dyDescent="0.25">
      <c r="A128" s="59"/>
      <c r="B128" s="851" t="s">
        <v>273</v>
      </c>
      <c r="C128" s="851"/>
      <c r="D128" s="851"/>
      <c r="E128" s="851"/>
      <c r="F128" s="851"/>
      <c r="G128" s="851"/>
      <c r="H128" s="431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</row>
    <row r="129" spans="1:32" s="60" customFormat="1" x14ac:dyDescent="0.25">
      <c r="A129" s="59"/>
      <c r="B129" s="71" t="s">
        <v>274</v>
      </c>
      <c r="C129" s="65" t="s">
        <v>259</v>
      </c>
      <c r="D129" s="258">
        <v>100</v>
      </c>
      <c r="E129" s="65">
        <v>0</v>
      </c>
      <c r="F129" s="64">
        <f t="shared" si="4"/>
        <v>0</v>
      </c>
      <c r="G129" s="688"/>
      <c r="H129" s="431" t="s">
        <v>1268</v>
      </c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</row>
    <row r="130" spans="1:32" s="60" customFormat="1" x14ac:dyDescent="0.25">
      <c r="A130" s="59"/>
      <c r="B130" s="71" t="s">
        <v>275</v>
      </c>
      <c r="C130" s="65" t="s">
        <v>276</v>
      </c>
      <c r="D130" s="260">
        <v>60</v>
      </c>
      <c r="E130" s="65">
        <v>60.75</v>
      </c>
      <c r="F130" s="64" t="str">
        <f t="shared" si="4"/>
        <v>100</v>
      </c>
      <c r="G130" s="688"/>
      <c r="H130" s="431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</row>
    <row r="131" spans="1:32" s="60" customFormat="1" x14ac:dyDescent="0.25">
      <c r="A131" s="59"/>
      <c r="B131" s="72" t="s">
        <v>277</v>
      </c>
      <c r="C131" s="256" t="s">
        <v>278</v>
      </c>
      <c r="D131" s="258">
        <v>10</v>
      </c>
      <c r="E131" s="65">
        <v>17</v>
      </c>
      <c r="F131" s="64" t="str">
        <f t="shared" si="4"/>
        <v>100</v>
      </c>
      <c r="G131" s="688"/>
      <c r="H131" s="431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</row>
    <row r="132" spans="1:32" s="60" customFormat="1" x14ac:dyDescent="0.25">
      <c r="A132" s="59"/>
      <c r="B132" s="72" t="s">
        <v>1083</v>
      </c>
      <c r="C132" s="256" t="s">
        <v>248</v>
      </c>
      <c r="D132" s="258">
        <v>38.619999999999997</v>
      </c>
      <c r="E132" s="65">
        <v>38.619999999999997</v>
      </c>
      <c r="F132" s="64">
        <v>100</v>
      </c>
      <c r="G132" s="688"/>
      <c r="H132" s="431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</row>
    <row r="133" spans="1:32" s="60" customFormat="1" x14ac:dyDescent="0.25">
      <c r="A133" s="59"/>
      <c r="B133" s="851" t="s">
        <v>279</v>
      </c>
      <c r="C133" s="851"/>
      <c r="D133" s="851"/>
      <c r="E133" s="851"/>
      <c r="F133" s="851"/>
      <c r="G133" s="851"/>
      <c r="H133" s="431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</row>
    <row r="134" spans="1:32" s="60" customFormat="1" ht="31.5" x14ac:dyDescent="0.25">
      <c r="A134" s="59"/>
      <c r="B134" s="70" t="s">
        <v>280</v>
      </c>
      <c r="C134" s="256" t="s">
        <v>281</v>
      </c>
      <c r="D134" s="256">
        <v>250</v>
      </c>
      <c r="E134" s="64">
        <v>250</v>
      </c>
      <c r="F134" s="64">
        <f t="shared" si="4"/>
        <v>100</v>
      </c>
      <c r="G134" s="688"/>
      <c r="H134" s="431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</row>
    <row r="135" spans="1:32" s="60" customFormat="1" x14ac:dyDescent="0.25">
      <c r="A135" s="59"/>
      <c r="B135" s="851" t="s">
        <v>282</v>
      </c>
      <c r="C135" s="851"/>
      <c r="D135" s="851"/>
      <c r="E135" s="851"/>
      <c r="F135" s="851"/>
      <c r="G135" s="851"/>
      <c r="H135" s="431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</row>
    <row r="136" spans="1:32" s="60" customFormat="1" ht="17.25" customHeight="1" x14ac:dyDescent="0.25">
      <c r="A136" s="59"/>
      <c r="B136" s="851" t="s">
        <v>283</v>
      </c>
      <c r="C136" s="851"/>
      <c r="D136" s="851"/>
      <c r="E136" s="851"/>
      <c r="F136" s="851"/>
      <c r="G136" s="851"/>
      <c r="H136" s="431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</row>
    <row r="137" spans="1:32" s="60" customFormat="1" ht="17.25" customHeight="1" x14ac:dyDescent="0.25">
      <c r="A137" s="59"/>
      <c r="B137" s="851" t="s">
        <v>284</v>
      </c>
      <c r="C137" s="851"/>
      <c r="D137" s="851"/>
      <c r="E137" s="851"/>
      <c r="F137" s="851"/>
      <c r="G137" s="851"/>
      <c r="H137" s="431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</row>
    <row r="138" spans="1:32" s="60" customFormat="1" x14ac:dyDescent="0.25">
      <c r="A138" s="59"/>
      <c r="B138" s="73" t="s">
        <v>285</v>
      </c>
      <c r="C138" s="256" t="s">
        <v>248</v>
      </c>
      <c r="D138" s="256">
        <v>766</v>
      </c>
      <c r="E138" s="74">
        <v>786.1</v>
      </c>
      <c r="F138" s="64" t="str">
        <f>IF((E138/D138*100)&gt;100,"100",E138/D138*100)</f>
        <v>100</v>
      </c>
      <c r="G138" s="688"/>
      <c r="H138" s="431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</row>
    <row r="139" spans="1:32" s="60" customFormat="1" x14ac:dyDescent="0.25">
      <c r="A139" s="59"/>
      <c r="B139" s="851" t="s">
        <v>286</v>
      </c>
      <c r="C139" s="851"/>
      <c r="D139" s="851"/>
      <c r="E139" s="851"/>
      <c r="F139" s="851"/>
      <c r="G139" s="851"/>
      <c r="H139" s="431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</row>
    <row r="140" spans="1:32" s="60" customFormat="1" x14ac:dyDescent="0.25">
      <c r="A140" s="59"/>
      <c r="B140" s="851" t="s">
        <v>287</v>
      </c>
      <c r="C140" s="851"/>
      <c r="D140" s="851"/>
      <c r="E140" s="851"/>
      <c r="F140" s="851"/>
      <c r="G140" s="851"/>
      <c r="H140" s="431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</row>
    <row r="141" spans="1:32" s="60" customFormat="1" ht="31.5" x14ac:dyDescent="0.25">
      <c r="A141" s="59"/>
      <c r="B141" s="73" t="s">
        <v>288</v>
      </c>
      <c r="C141" s="256" t="s">
        <v>248</v>
      </c>
      <c r="D141" s="256">
        <v>144</v>
      </c>
      <c r="E141" s="74">
        <v>130</v>
      </c>
      <c r="F141" s="64">
        <f>IF((E141/D141*100)&gt;100,"100",E141/D141*100)</f>
        <v>90.277777777777786</v>
      </c>
      <c r="G141" s="690"/>
      <c r="H141" s="61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</row>
    <row r="142" spans="1:32" s="60" customFormat="1" x14ac:dyDescent="0.25">
      <c r="A142" s="59"/>
      <c r="B142" s="851" t="s">
        <v>289</v>
      </c>
      <c r="C142" s="851"/>
      <c r="D142" s="851"/>
      <c r="E142" s="851"/>
      <c r="F142" s="851"/>
      <c r="G142" s="851"/>
      <c r="H142" s="431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</row>
    <row r="143" spans="1:32" s="60" customFormat="1" x14ac:dyDescent="0.25">
      <c r="A143" s="59"/>
      <c r="B143" s="73" t="s">
        <v>290</v>
      </c>
      <c r="C143" s="256" t="s">
        <v>248</v>
      </c>
      <c r="D143" s="256">
        <v>80</v>
      </c>
      <c r="E143" s="74">
        <v>73.349999999999994</v>
      </c>
      <c r="F143" s="64">
        <f>IF((E143/D143*100)&gt;100,"100",E143/D143*100)</f>
        <v>91.687499999999986</v>
      </c>
      <c r="G143" s="688"/>
      <c r="H143" s="431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</row>
    <row r="144" spans="1:32" s="60" customFormat="1" x14ac:dyDescent="0.25">
      <c r="A144" s="59"/>
      <c r="B144" s="851" t="s">
        <v>291</v>
      </c>
      <c r="C144" s="851"/>
      <c r="D144" s="851"/>
      <c r="E144" s="851"/>
      <c r="F144" s="851"/>
      <c r="G144" s="851"/>
      <c r="H144" s="431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</row>
    <row r="145" spans="1:32" s="60" customFormat="1" x14ac:dyDescent="0.25">
      <c r="A145" s="59"/>
      <c r="B145" s="852" t="s">
        <v>292</v>
      </c>
      <c r="C145" s="852"/>
      <c r="D145" s="852"/>
      <c r="E145" s="852"/>
      <c r="F145" s="852"/>
      <c r="G145" s="852"/>
      <c r="H145" s="431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</row>
    <row r="146" spans="1:32" s="60" customFormat="1" ht="31.5" x14ac:dyDescent="0.25">
      <c r="A146" s="59"/>
      <c r="B146" s="62" t="s">
        <v>293</v>
      </c>
      <c r="C146" s="256" t="s">
        <v>248</v>
      </c>
      <c r="D146" s="256">
        <v>48</v>
      </c>
      <c r="E146" s="256">
        <v>54</v>
      </c>
      <c r="F146" s="64" t="str">
        <f>IF((E146/D146*100)&gt;100,"100",E146/D146*100)</f>
        <v>100</v>
      </c>
      <c r="G146" s="688"/>
      <c r="H146" s="431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</row>
    <row r="147" spans="1:32" s="311" customFormat="1" ht="30" customHeight="1" x14ac:dyDescent="0.25">
      <c r="A147" s="678">
        <v>5</v>
      </c>
      <c r="B147" s="820" t="s">
        <v>1330</v>
      </c>
      <c r="C147" s="820"/>
      <c r="D147" s="820"/>
      <c r="E147" s="820"/>
      <c r="F147" s="820"/>
      <c r="G147" s="691">
        <f>SUM(F151+F153+F154+F157+F159+F160+F163+F161)/8</f>
        <v>94.666666666666671</v>
      </c>
      <c r="H147" s="708"/>
      <c r="I147" s="678"/>
      <c r="J147" s="678"/>
      <c r="K147" s="678"/>
      <c r="L147" s="678"/>
      <c r="M147" s="678"/>
      <c r="N147" s="678"/>
      <c r="O147" s="678"/>
      <c r="P147" s="678"/>
      <c r="Q147" s="678"/>
      <c r="R147" s="678"/>
      <c r="S147" s="678"/>
      <c r="T147" s="678"/>
      <c r="U147" s="678"/>
      <c r="V147" s="678"/>
      <c r="W147" s="678"/>
      <c r="X147" s="678"/>
      <c r="Y147" s="678"/>
      <c r="Z147" s="678"/>
      <c r="AA147" s="678"/>
      <c r="AB147" s="678"/>
      <c r="AC147" s="678"/>
      <c r="AD147" s="678"/>
      <c r="AE147" s="678"/>
      <c r="AF147" s="678"/>
    </row>
    <row r="148" spans="1:32" ht="15.75" customHeight="1" x14ac:dyDescent="0.25">
      <c r="B148" s="773" t="s">
        <v>1333</v>
      </c>
      <c r="C148" s="774"/>
      <c r="D148" s="774"/>
      <c r="E148" s="774"/>
      <c r="F148" s="774"/>
      <c r="G148" s="774"/>
      <c r="H148" s="775"/>
    </row>
    <row r="149" spans="1:32" x14ac:dyDescent="0.25">
      <c r="B149" s="850" t="s">
        <v>1060</v>
      </c>
      <c r="C149" s="850"/>
      <c r="D149" s="850"/>
      <c r="E149" s="850"/>
      <c r="F149" s="850"/>
      <c r="G149" s="692"/>
    </row>
    <row r="150" spans="1:32" x14ac:dyDescent="0.25">
      <c r="B150" s="850" t="s">
        <v>1334</v>
      </c>
      <c r="C150" s="850"/>
      <c r="D150" s="850"/>
      <c r="E150" s="850"/>
      <c r="F150" s="850"/>
      <c r="G150" s="692"/>
    </row>
    <row r="151" spans="1:32" ht="129" customHeight="1" x14ac:dyDescent="0.25">
      <c r="B151" s="78" t="s">
        <v>294</v>
      </c>
      <c r="C151" s="257" t="s">
        <v>85</v>
      </c>
      <c r="D151" s="254">
        <v>5</v>
      </c>
      <c r="E151" s="258">
        <v>17</v>
      </c>
      <c r="F151" s="75">
        <v>100</v>
      </c>
      <c r="G151" s="688"/>
      <c r="H151" s="710" t="s">
        <v>1058</v>
      </c>
    </row>
    <row r="152" spans="1:32" x14ac:dyDescent="0.25">
      <c r="B152" s="824" t="s">
        <v>1335</v>
      </c>
      <c r="C152" s="824"/>
      <c r="D152" s="824"/>
      <c r="E152" s="824"/>
      <c r="F152" s="824"/>
      <c r="G152" s="824"/>
    </row>
    <row r="153" spans="1:32" ht="33" customHeight="1" x14ac:dyDescent="0.25">
      <c r="B153" s="78" t="s">
        <v>295</v>
      </c>
      <c r="C153" s="257" t="s">
        <v>52</v>
      </c>
      <c r="D153" s="254">
        <v>75</v>
      </c>
      <c r="E153" s="258">
        <v>136</v>
      </c>
      <c r="F153" s="75">
        <v>100</v>
      </c>
      <c r="G153" s="688"/>
      <c r="H153" s="711"/>
    </row>
    <row r="154" spans="1:32" ht="179.25" customHeight="1" x14ac:dyDescent="0.25">
      <c r="B154" s="79" t="s">
        <v>54</v>
      </c>
      <c r="C154" s="257" t="s">
        <v>52</v>
      </c>
      <c r="D154" s="254">
        <v>30</v>
      </c>
      <c r="E154" s="258">
        <v>89.6</v>
      </c>
      <c r="F154" s="75">
        <v>100</v>
      </c>
      <c r="G154" s="688"/>
      <c r="H154" s="109" t="s">
        <v>1313</v>
      </c>
    </row>
    <row r="155" spans="1:32" x14ac:dyDescent="0.25">
      <c r="B155" s="824" t="s">
        <v>296</v>
      </c>
      <c r="C155" s="824"/>
      <c r="D155" s="824"/>
      <c r="E155" s="824"/>
      <c r="F155" s="824"/>
      <c r="G155" s="688"/>
    </row>
    <row r="156" spans="1:32" x14ac:dyDescent="0.25">
      <c r="B156" s="824" t="s">
        <v>1336</v>
      </c>
      <c r="C156" s="824"/>
      <c r="D156" s="824"/>
      <c r="E156" s="824"/>
      <c r="F156" s="824"/>
      <c r="G156" s="688"/>
    </row>
    <row r="157" spans="1:32" ht="111" customHeight="1" x14ac:dyDescent="0.25">
      <c r="B157" s="78" t="s">
        <v>297</v>
      </c>
      <c r="C157" s="257" t="s">
        <v>85</v>
      </c>
      <c r="D157" s="254">
        <v>8</v>
      </c>
      <c r="E157" s="254">
        <v>26</v>
      </c>
      <c r="F157" s="75">
        <v>100</v>
      </c>
      <c r="G157" s="688"/>
      <c r="H157" s="109" t="s">
        <v>1059</v>
      </c>
    </row>
    <row r="158" spans="1:32" x14ac:dyDescent="0.25">
      <c r="B158" s="824" t="s">
        <v>1337</v>
      </c>
      <c r="C158" s="824"/>
      <c r="D158" s="824"/>
      <c r="E158" s="824"/>
      <c r="F158" s="824"/>
      <c r="G158" s="693"/>
    </row>
    <row r="159" spans="1:32" ht="47.25" x14ac:dyDescent="0.25">
      <c r="B159" s="79" t="s">
        <v>298</v>
      </c>
      <c r="C159" s="257" t="s">
        <v>52</v>
      </c>
      <c r="D159" s="257">
        <v>100</v>
      </c>
      <c r="E159" s="257">
        <v>102.14</v>
      </c>
      <c r="F159" s="75">
        <v>100</v>
      </c>
      <c r="G159" s="688"/>
      <c r="H159" s="203"/>
    </row>
    <row r="160" spans="1:32" x14ac:dyDescent="0.25">
      <c r="B160" s="79" t="s">
        <v>299</v>
      </c>
      <c r="C160" s="257" t="s">
        <v>259</v>
      </c>
      <c r="D160" s="257">
        <v>200</v>
      </c>
      <c r="E160" s="257">
        <v>228.52</v>
      </c>
      <c r="F160" s="75">
        <v>100</v>
      </c>
      <c r="G160" s="688"/>
      <c r="H160" s="711"/>
    </row>
    <row r="161" spans="1:32" ht="38.25" customHeight="1" x14ac:dyDescent="0.25">
      <c r="B161" s="79" t="s">
        <v>300</v>
      </c>
      <c r="C161" s="257" t="s">
        <v>52</v>
      </c>
      <c r="D161" s="257">
        <v>30</v>
      </c>
      <c r="E161" s="257">
        <v>17.2</v>
      </c>
      <c r="F161" s="75">
        <f>SUM(E161/D161*100)</f>
        <v>57.333333333333336</v>
      </c>
      <c r="G161" s="688"/>
      <c r="H161" s="109" t="s">
        <v>1314</v>
      </c>
    </row>
    <row r="162" spans="1:32" x14ac:dyDescent="0.25">
      <c r="B162" s="824" t="s">
        <v>1338</v>
      </c>
      <c r="C162" s="824"/>
      <c r="D162" s="824"/>
      <c r="E162" s="824"/>
      <c r="F162" s="824"/>
      <c r="G162" s="688"/>
    </row>
    <row r="163" spans="1:32" ht="98.25" customHeight="1" x14ac:dyDescent="0.25">
      <c r="B163" s="79" t="s">
        <v>55</v>
      </c>
      <c r="C163" s="257" t="s">
        <v>56</v>
      </c>
      <c r="D163" s="257">
        <v>1</v>
      </c>
      <c r="E163" s="257">
        <v>1</v>
      </c>
      <c r="F163" s="75">
        <f>SUM(E163/D163*100)</f>
        <v>100</v>
      </c>
      <c r="G163" s="688"/>
      <c r="H163" s="109" t="s">
        <v>1315</v>
      </c>
    </row>
    <row r="164" spans="1:32" s="311" customFormat="1" ht="36" customHeight="1" x14ac:dyDescent="0.25">
      <c r="A164" s="678">
        <v>6</v>
      </c>
      <c r="B164" s="820" t="s">
        <v>1307</v>
      </c>
      <c r="C164" s="848"/>
      <c r="D164" s="848"/>
      <c r="E164" s="848"/>
      <c r="F164" s="848"/>
      <c r="G164" s="691">
        <f>SUM(F167+F168+F169+F170+F171+F172+F173+F174+F176+F177)/10</f>
        <v>90.737668623963231</v>
      </c>
      <c r="H164" s="708"/>
      <c r="I164" s="678"/>
      <c r="J164" s="678"/>
      <c r="K164" s="678"/>
      <c r="L164" s="678"/>
      <c r="M164" s="678"/>
      <c r="N164" s="678"/>
      <c r="O164" s="678"/>
      <c r="P164" s="678"/>
      <c r="Q164" s="678"/>
      <c r="R164" s="678"/>
      <c r="S164" s="678"/>
      <c r="T164" s="678"/>
      <c r="U164" s="678"/>
      <c r="V164" s="678"/>
      <c r="W164" s="678"/>
      <c r="X164" s="678"/>
      <c r="Y164" s="678"/>
      <c r="Z164" s="678"/>
      <c r="AA164" s="678"/>
      <c r="AB164" s="678"/>
      <c r="AC164" s="678"/>
      <c r="AD164" s="678"/>
      <c r="AE164" s="678"/>
      <c r="AF164" s="678"/>
    </row>
    <row r="165" spans="1:32" ht="30.75" customHeight="1" x14ac:dyDescent="0.25">
      <c r="B165" s="773" t="s">
        <v>1308</v>
      </c>
      <c r="C165" s="774"/>
      <c r="D165" s="774"/>
      <c r="E165" s="774"/>
      <c r="F165" s="774"/>
      <c r="G165" s="774"/>
      <c r="H165" s="775"/>
    </row>
    <row r="166" spans="1:32" s="82" customFormat="1" x14ac:dyDescent="0.25">
      <c r="A166" s="81"/>
      <c r="B166" s="849" t="s">
        <v>301</v>
      </c>
      <c r="C166" s="849"/>
      <c r="D166" s="849"/>
      <c r="E166" s="849"/>
      <c r="F166" s="849"/>
      <c r="G166" s="849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</row>
    <row r="167" spans="1:32" ht="57.75" customHeight="1" x14ac:dyDescent="0.25">
      <c r="B167" s="83" t="s">
        <v>302</v>
      </c>
      <c r="C167" s="258" t="s">
        <v>85</v>
      </c>
      <c r="D167" s="258">
        <v>485</v>
      </c>
      <c r="E167" s="84">
        <v>431</v>
      </c>
      <c r="F167" s="75">
        <f t="shared" ref="F167:F174" si="5">SUM(E167/D167*100)</f>
        <v>88.865979381443296</v>
      </c>
      <c r="G167" s="688"/>
      <c r="H167" s="724" t="s">
        <v>1007</v>
      </c>
    </row>
    <row r="168" spans="1:32" ht="85.5" customHeight="1" x14ac:dyDescent="0.25">
      <c r="B168" s="83" t="s">
        <v>303</v>
      </c>
      <c r="C168" s="25" t="s">
        <v>304</v>
      </c>
      <c r="D168" s="28">
        <v>839.1</v>
      </c>
      <c r="E168" s="84">
        <v>668.05</v>
      </c>
      <c r="F168" s="75">
        <f>E168/D168*100</f>
        <v>79.615063758789177</v>
      </c>
      <c r="G168" s="688"/>
      <c r="H168" s="864" t="s">
        <v>1311</v>
      </c>
    </row>
    <row r="169" spans="1:32" ht="109.5" customHeight="1" x14ac:dyDescent="0.25">
      <c r="B169" s="83" t="s">
        <v>305</v>
      </c>
      <c r="C169" s="25" t="s">
        <v>304</v>
      </c>
      <c r="D169" s="28">
        <v>766.6</v>
      </c>
      <c r="E169" s="84">
        <v>650.80999999999995</v>
      </c>
      <c r="F169" s="75">
        <f>E169/D169*100</f>
        <v>84.895643099399948</v>
      </c>
      <c r="G169" s="688"/>
      <c r="H169" s="864"/>
    </row>
    <row r="170" spans="1:32" ht="31.5" x14ac:dyDescent="0.25">
      <c r="B170" s="83" t="s">
        <v>306</v>
      </c>
      <c r="C170" s="23" t="s">
        <v>307</v>
      </c>
      <c r="D170" s="28">
        <v>10950</v>
      </c>
      <c r="E170" s="40">
        <v>13182</v>
      </c>
      <c r="F170" s="75">
        <v>100</v>
      </c>
      <c r="G170" s="688"/>
    </row>
    <row r="171" spans="1:32" ht="81.75" customHeight="1" x14ac:dyDescent="0.25">
      <c r="B171" s="83" t="s">
        <v>308</v>
      </c>
      <c r="C171" s="25" t="s">
        <v>85</v>
      </c>
      <c r="D171" s="26">
        <v>29</v>
      </c>
      <c r="E171" s="40">
        <v>67</v>
      </c>
      <c r="F171" s="75">
        <v>100</v>
      </c>
      <c r="G171" s="688"/>
      <c r="H171" s="725" t="s">
        <v>1309</v>
      </c>
    </row>
    <row r="172" spans="1:32" ht="135" customHeight="1" x14ac:dyDescent="0.25">
      <c r="B172" s="83" t="s">
        <v>309</v>
      </c>
      <c r="C172" s="25" t="s">
        <v>85</v>
      </c>
      <c r="D172" s="26">
        <v>25</v>
      </c>
      <c r="E172" s="40">
        <v>15</v>
      </c>
      <c r="F172" s="75">
        <f t="shared" si="5"/>
        <v>60</v>
      </c>
      <c r="G172" s="688"/>
      <c r="H172" s="725" t="s">
        <v>1008</v>
      </c>
    </row>
    <row r="173" spans="1:32" ht="47.25" x14ac:dyDescent="0.25">
      <c r="B173" s="83" t="s">
        <v>310</v>
      </c>
      <c r="C173" s="25" t="s">
        <v>52</v>
      </c>
      <c r="D173" s="26">
        <v>100</v>
      </c>
      <c r="E173" s="40">
        <v>94</v>
      </c>
      <c r="F173" s="75">
        <f t="shared" si="5"/>
        <v>94</v>
      </c>
      <c r="G173" s="688"/>
    </row>
    <row r="174" spans="1:32" ht="31.5" x14ac:dyDescent="0.25">
      <c r="B174" s="83" t="s">
        <v>311</v>
      </c>
      <c r="C174" s="25" t="s">
        <v>52</v>
      </c>
      <c r="D174" s="26">
        <v>21</v>
      </c>
      <c r="E174" s="40">
        <v>21</v>
      </c>
      <c r="F174" s="75">
        <f t="shared" si="5"/>
        <v>100</v>
      </c>
      <c r="G174" s="688"/>
    </row>
    <row r="175" spans="1:32" s="82" customFormat="1" x14ac:dyDescent="0.25">
      <c r="A175" s="81"/>
      <c r="B175" s="849" t="s">
        <v>1310</v>
      </c>
      <c r="C175" s="849"/>
      <c r="D175" s="849"/>
      <c r="E175" s="849"/>
      <c r="F175" s="849"/>
      <c r="G175" s="849"/>
      <c r="H175" s="712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</row>
    <row r="176" spans="1:32" x14ac:dyDescent="0.25">
      <c r="B176" s="85" t="s">
        <v>313</v>
      </c>
      <c r="C176" s="260" t="s">
        <v>85</v>
      </c>
      <c r="D176" s="260">
        <v>1150</v>
      </c>
      <c r="E176" s="86">
        <v>1937</v>
      </c>
      <c r="F176" s="75">
        <v>100</v>
      </c>
      <c r="G176" s="694"/>
    </row>
    <row r="177" spans="1:32" x14ac:dyDescent="0.25">
      <c r="B177" s="87" t="s">
        <v>314</v>
      </c>
      <c r="C177" s="260" t="s">
        <v>307</v>
      </c>
      <c r="D177" s="260">
        <v>2500</v>
      </c>
      <c r="E177" s="86">
        <v>2952</v>
      </c>
      <c r="F177" s="75">
        <v>100</v>
      </c>
      <c r="G177" s="688"/>
    </row>
    <row r="178" spans="1:32" s="311" customFormat="1" ht="37.5" customHeight="1" x14ac:dyDescent="0.25">
      <c r="A178" s="678">
        <v>7</v>
      </c>
      <c r="B178" s="820" t="s">
        <v>1301</v>
      </c>
      <c r="C178" s="820"/>
      <c r="D178" s="820"/>
      <c r="E178" s="820"/>
      <c r="F178" s="820"/>
      <c r="G178" s="691">
        <f>SUM(F180+F181+F182+F183+F184+F185)/6</f>
        <v>95.739393939393949</v>
      </c>
      <c r="H178" s="708"/>
      <c r="I178" s="678"/>
      <c r="J178" s="678"/>
      <c r="K178" s="678"/>
      <c r="L178" s="678"/>
      <c r="M178" s="678"/>
      <c r="N178" s="678"/>
      <c r="O178" s="678"/>
      <c r="P178" s="678"/>
      <c r="Q178" s="678"/>
      <c r="R178" s="678"/>
      <c r="S178" s="678"/>
      <c r="T178" s="678"/>
      <c r="U178" s="678"/>
      <c r="V178" s="678"/>
      <c r="W178" s="678"/>
      <c r="X178" s="678"/>
      <c r="Y178" s="678"/>
      <c r="Z178" s="678"/>
      <c r="AA178" s="678"/>
      <c r="AB178" s="678"/>
      <c r="AC178" s="678"/>
      <c r="AD178" s="678"/>
      <c r="AE178" s="678"/>
      <c r="AF178" s="678"/>
    </row>
    <row r="179" spans="1:32" ht="37.5" customHeight="1" x14ac:dyDescent="0.25">
      <c r="B179" s="800" t="s">
        <v>1303</v>
      </c>
      <c r="C179" s="801"/>
      <c r="D179" s="801"/>
      <c r="E179" s="801"/>
      <c r="F179" s="801"/>
      <c r="G179" s="801"/>
      <c r="H179" s="802"/>
    </row>
    <row r="180" spans="1:32" ht="106.5" customHeight="1" x14ac:dyDescent="0.25">
      <c r="B180" s="88" t="s">
        <v>1118</v>
      </c>
      <c r="C180" s="50" t="s">
        <v>52</v>
      </c>
      <c r="D180" s="260">
        <v>80</v>
      </c>
      <c r="E180" s="260">
        <v>85</v>
      </c>
      <c r="F180" s="75">
        <v>100</v>
      </c>
      <c r="G180" s="688"/>
      <c r="H180" s="862" t="s">
        <v>1306</v>
      </c>
    </row>
    <row r="181" spans="1:32" ht="39.75" customHeight="1" x14ac:dyDescent="0.25">
      <c r="B181" s="126" t="s">
        <v>315</v>
      </c>
      <c r="C181" s="50" t="s">
        <v>52</v>
      </c>
      <c r="D181" s="574">
        <v>55</v>
      </c>
      <c r="E181" s="574">
        <v>40.94</v>
      </c>
      <c r="F181" s="75">
        <f t="shared" ref="F181:F185" si="6">SUM(E181/D181*100)</f>
        <v>74.436363636363637</v>
      </c>
      <c r="G181" s="688"/>
      <c r="H181" s="863"/>
    </row>
    <row r="182" spans="1:32" ht="99" customHeight="1" x14ac:dyDescent="0.25">
      <c r="B182" s="126" t="s">
        <v>316</v>
      </c>
      <c r="C182" s="50" t="s">
        <v>85</v>
      </c>
      <c r="D182" s="50">
        <v>80</v>
      </c>
      <c r="E182" s="140">
        <v>80</v>
      </c>
      <c r="F182" s="75">
        <f t="shared" si="6"/>
        <v>100</v>
      </c>
      <c r="G182" s="688"/>
      <c r="H182" s="109" t="s">
        <v>1305</v>
      </c>
    </row>
    <row r="183" spans="1:32" ht="32.25" customHeight="1" x14ac:dyDescent="0.25">
      <c r="B183" s="89" t="s">
        <v>317</v>
      </c>
      <c r="C183" s="50" t="s">
        <v>85</v>
      </c>
      <c r="D183" s="90">
        <v>50</v>
      </c>
      <c r="E183" s="142">
        <v>53</v>
      </c>
      <c r="F183" s="75">
        <v>100</v>
      </c>
      <c r="G183" s="688"/>
      <c r="H183" s="109" t="s">
        <v>1304</v>
      </c>
    </row>
    <row r="184" spans="1:32" ht="34.5" customHeight="1" x14ac:dyDescent="0.25">
      <c r="B184" s="89" t="s">
        <v>318</v>
      </c>
      <c r="C184" s="50" t="s">
        <v>85</v>
      </c>
      <c r="D184" s="50">
        <v>65</v>
      </c>
      <c r="E184" s="142">
        <v>120</v>
      </c>
      <c r="F184" s="75">
        <v>100</v>
      </c>
      <c r="G184" s="688"/>
    </row>
    <row r="185" spans="1:32" ht="33.75" customHeight="1" x14ac:dyDescent="0.25">
      <c r="B185" s="89" t="s">
        <v>319</v>
      </c>
      <c r="C185" s="50" t="s">
        <v>85</v>
      </c>
      <c r="D185" s="50">
        <v>1</v>
      </c>
      <c r="E185" s="142">
        <v>1</v>
      </c>
      <c r="F185" s="75">
        <f t="shared" si="6"/>
        <v>100</v>
      </c>
      <c r="G185" s="688"/>
      <c r="H185" s="109" t="s">
        <v>969</v>
      </c>
    </row>
    <row r="186" spans="1:32" s="311" customFormat="1" ht="36" customHeight="1" x14ac:dyDescent="0.25">
      <c r="A186" s="678">
        <v>8</v>
      </c>
      <c r="B186" s="820" t="s">
        <v>320</v>
      </c>
      <c r="C186" s="848"/>
      <c r="D186" s="848"/>
      <c r="E186" s="848"/>
      <c r="F186" s="848"/>
      <c r="G186" s="691">
        <f>(F189+F191+F192+F193+F194)/5</f>
        <v>76.533333333333331</v>
      </c>
      <c r="H186" s="708"/>
      <c r="I186" s="678"/>
      <c r="J186" s="678"/>
      <c r="K186" s="678"/>
      <c r="L186" s="678"/>
      <c r="M186" s="678"/>
      <c r="N186" s="678"/>
      <c r="O186" s="678"/>
      <c r="P186" s="678"/>
      <c r="Q186" s="678"/>
      <c r="R186" s="678"/>
      <c r="S186" s="678"/>
      <c r="T186" s="678"/>
      <c r="U186" s="678"/>
      <c r="V186" s="678"/>
      <c r="W186" s="678"/>
      <c r="X186" s="678"/>
      <c r="Y186" s="678"/>
      <c r="Z186" s="678"/>
      <c r="AA186" s="678"/>
      <c r="AB186" s="678"/>
      <c r="AC186" s="678"/>
      <c r="AD186" s="678"/>
      <c r="AE186" s="678"/>
      <c r="AF186" s="678"/>
    </row>
    <row r="187" spans="1:32" ht="46.5" customHeight="1" x14ac:dyDescent="0.25">
      <c r="B187" s="794" t="s">
        <v>1287</v>
      </c>
      <c r="C187" s="795"/>
      <c r="D187" s="795"/>
      <c r="E187" s="795"/>
      <c r="F187" s="795"/>
      <c r="G187" s="795"/>
      <c r="H187" s="796"/>
    </row>
    <row r="188" spans="1:32" s="92" customFormat="1" ht="24.75" customHeight="1" x14ac:dyDescent="0.25">
      <c r="A188" s="91"/>
      <c r="B188" s="843" t="s">
        <v>321</v>
      </c>
      <c r="C188" s="844"/>
      <c r="D188" s="844"/>
      <c r="E188" s="844"/>
      <c r="F188" s="844"/>
      <c r="G188" s="845"/>
      <c r="H188" s="713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</row>
    <row r="189" spans="1:32" ht="31.5" x14ac:dyDescent="0.25">
      <c r="B189" s="93" t="s">
        <v>322</v>
      </c>
      <c r="C189" s="40" t="s">
        <v>52</v>
      </c>
      <c r="D189" s="40">
        <v>100</v>
      </c>
      <c r="E189" s="257">
        <v>100</v>
      </c>
      <c r="F189" s="75">
        <f>SUM(E189/D189*100)</f>
        <v>100</v>
      </c>
      <c r="G189" s="680"/>
    </row>
    <row r="190" spans="1:32" s="92" customFormat="1" ht="24" customHeight="1" x14ac:dyDescent="0.25">
      <c r="A190" s="91"/>
      <c r="B190" s="843" t="s">
        <v>323</v>
      </c>
      <c r="C190" s="844"/>
      <c r="D190" s="844"/>
      <c r="E190" s="844"/>
      <c r="F190" s="844"/>
      <c r="G190" s="845"/>
      <c r="H190" s="713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</row>
    <row r="191" spans="1:32" ht="31.5" x14ac:dyDescent="0.25">
      <c r="B191" s="93" t="s">
        <v>324</v>
      </c>
      <c r="C191" s="40" t="s">
        <v>52</v>
      </c>
      <c r="D191" s="40">
        <v>60</v>
      </c>
      <c r="E191" s="257">
        <v>49.6</v>
      </c>
      <c r="F191" s="75">
        <f>SUM(E191/D191*100)</f>
        <v>82.666666666666671</v>
      </c>
      <c r="G191" s="680"/>
    </row>
    <row r="192" spans="1:32" ht="31.5" x14ac:dyDescent="0.25">
      <c r="B192" s="93" t="s">
        <v>325</v>
      </c>
      <c r="C192" s="40" t="s">
        <v>66</v>
      </c>
      <c r="D192" s="40">
        <v>50</v>
      </c>
      <c r="E192" s="257">
        <v>65</v>
      </c>
      <c r="F192" s="75">
        <v>100</v>
      </c>
      <c r="G192" s="680"/>
    </row>
    <row r="193" spans="1:32" ht="31.5" x14ac:dyDescent="0.25">
      <c r="B193" s="93" t="s">
        <v>326</v>
      </c>
      <c r="C193" s="40" t="s">
        <v>52</v>
      </c>
      <c r="D193" s="50">
        <v>20</v>
      </c>
      <c r="E193" s="257">
        <v>20</v>
      </c>
      <c r="F193" s="75">
        <f>SUM(E193/D193*100)</f>
        <v>100</v>
      </c>
      <c r="G193" s="680"/>
    </row>
    <row r="194" spans="1:32" ht="30.75" customHeight="1" x14ac:dyDescent="0.25">
      <c r="B194" s="94" t="s">
        <v>180</v>
      </c>
      <c r="C194" s="40" t="s">
        <v>52</v>
      </c>
      <c r="D194" s="50">
        <v>10</v>
      </c>
      <c r="E194" s="257">
        <v>0</v>
      </c>
      <c r="F194" s="75">
        <f>SUM(E194/D194*100)</f>
        <v>0</v>
      </c>
      <c r="G194" s="680"/>
      <c r="H194" s="109" t="s">
        <v>1317</v>
      </c>
    </row>
    <row r="195" spans="1:32" s="311" customFormat="1" ht="21.75" customHeight="1" x14ac:dyDescent="0.25">
      <c r="A195" s="678">
        <v>9</v>
      </c>
      <c r="B195" s="820" t="s">
        <v>1376</v>
      </c>
      <c r="C195" s="846"/>
      <c r="D195" s="846"/>
      <c r="E195" s="847"/>
      <c r="F195" s="847"/>
      <c r="G195" s="691">
        <f>(F198+F200+F201+F206+F203+F204+F207)/7</f>
        <v>88.422404933196304</v>
      </c>
      <c r="H195" s="708"/>
      <c r="I195" s="678"/>
      <c r="J195" s="678"/>
      <c r="K195" s="678"/>
      <c r="L195" s="678"/>
      <c r="M195" s="678"/>
      <c r="N195" s="678"/>
      <c r="O195" s="678"/>
      <c r="P195" s="678"/>
      <c r="Q195" s="678"/>
      <c r="R195" s="678"/>
      <c r="S195" s="678"/>
      <c r="T195" s="678"/>
      <c r="U195" s="678"/>
      <c r="V195" s="678"/>
      <c r="W195" s="678"/>
      <c r="X195" s="678"/>
      <c r="Y195" s="678"/>
      <c r="Z195" s="678"/>
      <c r="AA195" s="678"/>
      <c r="AB195" s="678"/>
      <c r="AC195" s="678"/>
      <c r="AD195" s="678"/>
      <c r="AE195" s="678"/>
      <c r="AF195" s="678"/>
    </row>
    <row r="196" spans="1:32" ht="43.5" customHeight="1" x14ac:dyDescent="0.25">
      <c r="B196" s="794" t="s">
        <v>1285</v>
      </c>
      <c r="C196" s="795"/>
      <c r="D196" s="795"/>
      <c r="E196" s="795"/>
      <c r="F196" s="795"/>
      <c r="G196" s="795"/>
      <c r="H196" s="796"/>
    </row>
    <row r="197" spans="1:32" s="96" customFormat="1" ht="18.75" customHeight="1" x14ac:dyDescent="0.25">
      <c r="A197" s="95"/>
      <c r="B197" s="843" t="s">
        <v>327</v>
      </c>
      <c r="C197" s="844"/>
      <c r="D197" s="844"/>
      <c r="E197" s="844"/>
      <c r="F197" s="844"/>
      <c r="G197" s="845"/>
      <c r="H197" s="714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</row>
    <row r="198" spans="1:32" ht="47.25" x14ac:dyDescent="0.25">
      <c r="B198" s="69" t="s">
        <v>328</v>
      </c>
      <c r="C198" s="258" t="s">
        <v>52</v>
      </c>
      <c r="D198" s="97">
        <v>75</v>
      </c>
      <c r="E198" s="58">
        <v>75</v>
      </c>
      <c r="F198" s="75">
        <v>100</v>
      </c>
      <c r="G198" s="688"/>
    </row>
    <row r="199" spans="1:32" s="96" customFormat="1" ht="16.5" customHeight="1" x14ac:dyDescent="0.25">
      <c r="A199" s="95"/>
      <c r="B199" s="843" t="s">
        <v>329</v>
      </c>
      <c r="C199" s="844"/>
      <c r="D199" s="844"/>
      <c r="E199" s="844"/>
      <c r="F199" s="844"/>
      <c r="G199" s="845"/>
      <c r="H199" s="714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</row>
    <row r="200" spans="1:32" ht="31.5" x14ac:dyDescent="0.25">
      <c r="B200" s="259" t="s">
        <v>181</v>
      </c>
      <c r="C200" s="258" t="s">
        <v>52</v>
      </c>
      <c r="D200" s="258">
        <v>70</v>
      </c>
      <c r="E200" s="140">
        <v>63</v>
      </c>
      <c r="F200" s="75">
        <f>E200/D200*100</f>
        <v>90</v>
      </c>
      <c r="G200" s="688"/>
    </row>
    <row r="201" spans="1:32" ht="31.5" x14ac:dyDescent="0.25">
      <c r="B201" s="259" t="s">
        <v>182</v>
      </c>
      <c r="C201" s="258" t="s">
        <v>85</v>
      </c>
      <c r="D201" s="258">
        <v>2</v>
      </c>
      <c r="E201" s="140">
        <v>1</v>
      </c>
      <c r="F201" s="75">
        <f>SUM(E201/D201*100)</f>
        <v>50</v>
      </c>
      <c r="G201" s="688"/>
    </row>
    <row r="202" spans="1:32" s="96" customFormat="1" ht="18.75" customHeight="1" x14ac:dyDescent="0.25">
      <c r="A202" s="95"/>
      <c r="B202" s="812" t="s">
        <v>330</v>
      </c>
      <c r="C202" s="812"/>
      <c r="D202" s="812"/>
      <c r="E202" s="812"/>
      <c r="F202" s="812"/>
      <c r="G202" s="812"/>
      <c r="H202" s="714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</row>
    <row r="203" spans="1:32" ht="31.5" x14ac:dyDescent="0.25">
      <c r="B203" s="259" t="s">
        <v>183</v>
      </c>
      <c r="C203" s="258" t="s">
        <v>85</v>
      </c>
      <c r="D203" s="258">
        <v>15</v>
      </c>
      <c r="E203" s="140">
        <v>15</v>
      </c>
      <c r="F203" s="75">
        <f>SUM(E203/D203*100)</f>
        <v>100</v>
      </c>
      <c r="G203" s="688"/>
    </row>
    <row r="204" spans="1:32" ht="31.5" x14ac:dyDescent="0.25">
      <c r="B204" s="259" t="s">
        <v>184</v>
      </c>
      <c r="C204" s="258" t="s">
        <v>85</v>
      </c>
      <c r="D204" s="258">
        <v>4</v>
      </c>
      <c r="E204" s="140">
        <v>4</v>
      </c>
      <c r="F204" s="75">
        <f>SUM(E204/D204*100)</f>
        <v>100</v>
      </c>
      <c r="G204" s="688"/>
    </row>
    <row r="205" spans="1:32" s="96" customFormat="1" x14ac:dyDescent="0.25">
      <c r="A205" s="95"/>
      <c r="B205" s="812" t="s">
        <v>331</v>
      </c>
      <c r="C205" s="812"/>
      <c r="D205" s="812"/>
      <c r="E205" s="812"/>
      <c r="F205" s="812"/>
      <c r="G205" s="812"/>
      <c r="H205" s="714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</row>
    <row r="206" spans="1:32" ht="18.75" customHeight="1" x14ac:dyDescent="0.25">
      <c r="B206" s="259" t="s">
        <v>186</v>
      </c>
      <c r="C206" s="260" t="s">
        <v>85</v>
      </c>
      <c r="D206" s="260">
        <v>24</v>
      </c>
      <c r="E206" s="140">
        <v>24</v>
      </c>
      <c r="F206" s="75">
        <v>100</v>
      </c>
      <c r="G206" s="688"/>
    </row>
    <row r="207" spans="1:32" ht="17.25" customHeight="1" x14ac:dyDescent="0.25">
      <c r="B207" s="98" t="s">
        <v>185</v>
      </c>
      <c r="C207" s="260" t="s">
        <v>85</v>
      </c>
      <c r="D207" s="260">
        <v>2780</v>
      </c>
      <c r="E207" s="140">
        <v>2195</v>
      </c>
      <c r="F207" s="75">
        <f>SUM(E207/D207*100)</f>
        <v>78.956834532374103</v>
      </c>
      <c r="G207" s="688"/>
      <c r="H207" s="109" t="s">
        <v>1010</v>
      </c>
    </row>
    <row r="208" spans="1:32" s="311" customFormat="1" ht="19.5" customHeight="1" x14ac:dyDescent="0.25">
      <c r="A208" s="678">
        <v>10</v>
      </c>
      <c r="B208" s="840" t="s">
        <v>1289</v>
      </c>
      <c r="C208" s="841"/>
      <c r="D208" s="841"/>
      <c r="E208" s="841"/>
      <c r="F208" s="841"/>
      <c r="G208" s="695">
        <f>SUM(F210:F211)/2</f>
        <v>100</v>
      </c>
      <c r="H208" s="708"/>
      <c r="I208" s="678"/>
      <c r="J208" s="678"/>
      <c r="K208" s="678"/>
      <c r="L208" s="678"/>
      <c r="M208" s="678"/>
      <c r="N208" s="678"/>
      <c r="O208" s="678"/>
      <c r="P208" s="678"/>
      <c r="Q208" s="678"/>
      <c r="R208" s="678"/>
      <c r="S208" s="678"/>
      <c r="T208" s="678"/>
      <c r="U208" s="678"/>
      <c r="V208" s="678"/>
      <c r="W208" s="678"/>
      <c r="X208" s="678"/>
      <c r="Y208" s="678"/>
      <c r="Z208" s="678"/>
      <c r="AA208" s="678"/>
      <c r="AB208" s="678"/>
      <c r="AC208" s="678"/>
      <c r="AD208" s="678"/>
      <c r="AE208" s="678"/>
      <c r="AF208" s="678"/>
    </row>
    <row r="209" spans="1:32" ht="18.75" customHeight="1" x14ac:dyDescent="0.25">
      <c r="B209" s="803" t="s">
        <v>332</v>
      </c>
      <c r="C209" s="804"/>
      <c r="D209" s="804"/>
      <c r="E209" s="804"/>
      <c r="F209" s="804"/>
      <c r="G209" s="804"/>
      <c r="H209" s="805"/>
    </row>
    <row r="210" spans="1:32" ht="31.5" x14ac:dyDescent="0.25">
      <c r="B210" s="99" t="s">
        <v>59</v>
      </c>
      <c r="C210" s="100" t="s">
        <v>52</v>
      </c>
      <c r="D210" s="101">
        <v>65</v>
      </c>
      <c r="E210" s="90">
        <v>80</v>
      </c>
      <c r="F210" s="75">
        <v>100</v>
      </c>
      <c r="G210" s="680"/>
      <c r="H210" s="727"/>
      <c r="I210" s="727"/>
      <c r="J210" s="727"/>
      <c r="K210" s="727"/>
      <c r="L210" s="727"/>
      <c r="M210" s="727"/>
    </row>
    <row r="211" spans="1:32" ht="31.5" x14ac:dyDescent="0.25">
      <c r="B211" s="94" t="s">
        <v>333</v>
      </c>
      <c r="C211" s="102" t="s">
        <v>1096</v>
      </c>
      <c r="D211" s="50">
        <v>19</v>
      </c>
      <c r="E211" s="90">
        <v>21</v>
      </c>
      <c r="F211" s="75">
        <v>100</v>
      </c>
      <c r="G211" s="696"/>
      <c r="H211" s="727"/>
      <c r="I211" s="727"/>
      <c r="J211" s="727"/>
      <c r="K211" s="727"/>
    </row>
    <row r="212" spans="1:32" s="311" customFormat="1" ht="38.25" customHeight="1" x14ac:dyDescent="0.25">
      <c r="A212" s="678">
        <v>11</v>
      </c>
      <c r="B212" s="820" t="s">
        <v>1292</v>
      </c>
      <c r="C212" s="842"/>
      <c r="D212" s="842"/>
      <c r="E212" s="842"/>
      <c r="F212" s="842"/>
      <c r="G212" s="691">
        <f>(F216+F217+F220+F221)/4</f>
        <v>98.529411764705884</v>
      </c>
      <c r="H212" s="708"/>
      <c r="I212" s="678"/>
      <c r="J212" s="678"/>
      <c r="K212" s="678"/>
      <c r="L212" s="678"/>
      <c r="M212" s="678"/>
      <c r="N212" s="678"/>
      <c r="O212" s="678"/>
      <c r="P212" s="678"/>
      <c r="Q212" s="678"/>
      <c r="R212" s="678"/>
      <c r="S212" s="678"/>
      <c r="T212" s="678"/>
      <c r="U212" s="678"/>
      <c r="V212" s="678"/>
      <c r="W212" s="678"/>
      <c r="X212" s="678"/>
      <c r="Y212" s="678"/>
      <c r="Z212" s="678"/>
      <c r="AA212" s="678"/>
      <c r="AB212" s="678"/>
      <c r="AC212" s="678"/>
      <c r="AD212" s="678"/>
      <c r="AE212" s="678"/>
      <c r="AF212" s="678"/>
    </row>
    <row r="213" spans="1:32" s="338" customFormat="1" ht="26.25" customHeight="1" x14ac:dyDescent="0.25">
      <c r="A213" s="337"/>
      <c r="B213" s="837" t="s">
        <v>334</v>
      </c>
      <c r="C213" s="838"/>
      <c r="D213" s="838"/>
      <c r="E213" s="838"/>
      <c r="F213" s="838"/>
      <c r="G213" s="838"/>
      <c r="H213" s="839"/>
      <c r="I213" s="337"/>
      <c r="J213" s="337"/>
      <c r="K213" s="337"/>
      <c r="L213" s="337"/>
      <c r="M213" s="337"/>
      <c r="N213" s="337"/>
      <c r="O213" s="337"/>
      <c r="P213" s="337"/>
      <c r="Q213" s="337"/>
      <c r="R213" s="337"/>
      <c r="S213" s="337"/>
      <c r="T213" s="337"/>
      <c r="U213" s="337"/>
      <c r="V213" s="337"/>
      <c r="W213" s="337"/>
      <c r="X213" s="337"/>
      <c r="Y213" s="337"/>
      <c r="Z213" s="337"/>
      <c r="AA213" s="337"/>
      <c r="AB213" s="337"/>
      <c r="AC213" s="337"/>
      <c r="AD213" s="337"/>
      <c r="AE213" s="337"/>
      <c r="AF213" s="337"/>
    </row>
    <row r="214" spans="1:32" s="340" customFormat="1" ht="17.25" customHeight="1" x14ac:dyDescent="0.25">
      <c r="A214" s="339"/>
      <c r="B214" s="831" t="s">
        <v>335</v>
      </c>
      <c r="C214" s="832"/>
      <c r="D214" s="832"/>
      <c r="E214" s="832"/>
      <c r="F214" s="832"/>
      <c r="G214" s="833"/>
      <c r="H214" s="716"/>
      <c r="I214" s="339"/>
      <c r="J214" s="339"/>
      <c r="K214" s="339"/>
      <c r="L214" s="339"/>
      <c r="M214" s="339"/>
      <c r="N214" s="339"/>
      <c r="O214" s="339"/>
      <c r="P214" s="339"/>
      <c r="Q214" s="339"/>
      <c r="R214" s="339"/>
      <c r="S214" s="339"/>
      <c r="T214" s="339"/>
      <c r="U214" s="339"/>
      <c r="V214" s="339"/>
      <c r="W214" s="339"/>
      <c r="X214" s="339"/>
      <c r="Y214" s="339"/>
      <c r="Z214" s="339"/>
      <c r="AA214" s="339"/>
      <c r="AB214" s="339"/>
      <c r="AC214" s="339"/>
      <c r="AD214" s="339"/>
      <c r="AE214" s="339"/>
      <c r="AF214" s="339"/>
    </row>
    <row r="215" spans="1:32" s="340" customFormat="1" ht="20.25" customHeight="1" x14ac:dyDescent="0.25">
      <c r="A215" s="339"/>
      <c r="B215" s="831" t="s">
        <v>336</v>
      </c>
      <c r="C215" s="832"/>
      <c r="D215" s="832"/>
      <c r="E215" s="832"/>
      <c r="F215" s="832"/>
      <c r="G215" s="833"/>
      <c r="H215" s="716"/>
      <c r="I215" s="339"/>
      <c r="J215" s="339"/>
      <c r="K215" s="339"/>
      <c r="L215" s="339"/>
      <c r="M215" s="339"/>
      <c r="N215" s="339"/>
      <c r="O215" s="339"/>
      <c r="P215" s="339"/>
      <c r="Q215" s="339"/>
      <c r="R215" s="339"/>
      <c r="S215" s="339"/>
      <c r="T215" s="339"/>
      <c r="U215" s="339"/>
      <c r="V215" s="339"/>
      <c r="W215" s="339"/>
      <c r="X215" s="339"/>
      <c r="Y215" s="339"/>
      <c r="Z215" s="339"/>
      <c r="AA215" s="339"/>
      <c r="AB215" s="339"/>
      <c r="AC215" s="339"/>
      <c r="AD215" s="339"/>
      <c r="AE215" s="339"/>
      <c r="AF215" s="339"/>
    </row>
    <row r="216" spans="1:32" s="338" customFormat="1" ht="34.5" customHeight="1" x14ac:dyDescent="0.25">
      <c r="A216" s="337"/>
      <c r="B216" s="341" t="s">
        <v>337</v>
      </c>
      <c r="C216" s="342" t="s">
        <v>85</v>
      </c>
      <c r="D216" s="343">
        <v>31</v>
      </c>
      <c r="E216" s="344">
        <v>32</v>
      </c>
      <c r="F216" s="345">
        <v>100</v>
      </c>
      <c r="G216" s="697"/>
      <c r="H216" s="715"/>
      <c r="I216" s="337"/>
      <c r="J216" s="337"/>
      <c r="K216" s="337"/>
      <c r="L216" s="337"/>
      <c r="M216" s="337"/>
      <c r="N216" s="337"/>
      <c r="O216" s="337"/>
      <c r="P216" s="337"/>
      <c r="Q216" s="337"/>
      <c r="R216" s="337"/>
      <c r="S216" s="337"/>
      <c r="T216" s="337"/>
      <c r="U216" s="337"/>
      <c r="V216" s="337"/>
      <c r="W216" s="337"/>
      <c r="X216" s="337"/>
      <c r="Y216" s="337"/>
      <c r="Z216" s="337"/>
      <c r="AA216" s="337"/>
      <c r="AB216" s="337"/>
      <c r="AC216" s="337"/>
      <c r="AD216" s="337"/>
      <c r="AE216" s="337"/>
      <c r="AF216" s="337"/>
    </row>
    <row r="217" spans="1:32" s="338" customFormat="1" ht="31.5" x14ac:dyDescent="0.25">
      <c r="A217" s="337"/>
      <c r="B217" s="341" t="s">
        <v>338</v>
      </c>
      <c r="C217" s="342" t="s">
        <v>52</v>
      </c>
      <c r="D217" s="343">
        <v>9</v>
      </c>
      <c r="E217" s="344">
        <v>12.5</v>
      </c>
      <c r="F217" s="345">
        <v>100</v>
      </c>
      <c r="G217" s="697"/>
      <c r="H217" s="715"/>
      <c r="I217" s="337"/>
      <c r="J217" s="337"/>
      <c r="K217" s="337"/>
      <c r="L217" s="337"/>
      <c r="M217" s="337"/>
      <c r="N217" s="337"/>
      <c r="O217" s="337"/>
      <c r="P217" s="337"/>
      <c r="Q217" s="337"/>
      <c r="R217" s="337"/>
      <c r="S217" s="337"/>
      <c r="T217" s="337"/>
      <c r="U217" s="337"/>
      <c r="V217" s="337"/>
      <c r="W217" s="337"/>
      <c r="X217" s="337"/>
      <c r="Y217" s="337"/>
      <c r="Z217" s="337"/>
      <c r="AA217" s="337"/>
      <c r="AB217" s="337"/>
      <c r="AC217" s="337"/>
      <c r="AD217" s="337"/>
      <c r="AE217" s="337"/>
      <c r="AF217" s="337"/>
    </row>
    <row r="218" spans="1:32" s="340" customFormat="1" ht="17.25" customHeight="1" x14ac:dyDescent="0.25">
      <c r="A218" s="339"/>
      <c r="B218" s="831" t="s">
        <v>339</v>
      </c>
      <c r="C218" s="832"/>
      <c r="D218" s="832"/>
      <c r="E218" s="832"/>
      <c r="F218" s="832"/>
      <c r="G218" s="833"/>
      <c r="H218" s="716"/>
      <c r="I218" s="339"/>
      <c r="J218" s="339"/>
      <c r="K218" s="339"/>
      <c r="L218" s="339"/>
      <c r="M218" s="339"/>
      <c r="N218" s="339"/>
      <c r="O218" s="339"/>
      <c r="P218" s="339"/>
      <c r="Q218" s="339"/>
      <c r="R218" s="339"/>
      <c r="S218" s="339"/>
      <c r="T218" s="339"/>
      <c r="U218" s="339"/>
      <c r="V218" s="339"/>
      <c r="W218" s="339"/>
      <c r="X218" s="339"/>
      <c r="Y218" s="339"/>
      <c r="Z218" s="339"/>
      <c r="AA218" s="339"/>
      <c r="AB218" s="339"/>
      <c r="AC218" s="339"/>
      <c r="AD218" s="339"/>
      <c r="AE218" s="339"/>
      <c r="AF218" s="339"/>
    </row>
    <row r="219" spans="1:32" s="340" customFormat="1" ht="20.25" customHeight="1" x14ac:dyDescent="0.25">
      <c r="A219" s="339"/>
      <c r="B219" s="831" t="s">
        <v>340</v>
      </c>
      <c r="C219" s="832"/>
      <c r="D219" s="832"/>
      <c r="E219" s="832"/>
      <c r="F219" s="832"/>
      <c r="G219" s="833"/>
      <c r="H219" s="716"/>
      <c r="I219" s="339"/>
      <c r="J219" s="339"/>
      <c r="K219" s="339"/>
      <c r="L219" s="339"/>
      <c r="M219" s="339"/>
      <c r="N219" s="339"/>
      <c r="O219" s="339"/>
      <c r="P219" s="339"/>
      <c r="Q219" s="339"/>
      <c r="R219" s="339"/>
      <c r="S219" s="339"/>
      <c r="T219" s="339"/>
      <c r="U219" s="339"/>
      <c r="V219" s="339"/>
      <c r="W219" s="339"/>
      <c r="X219" s="339"/>
      <c r="Y219" s="339"/>
      <c r="Z219" s="339"/>
      <c r="AA219" s="339"/>
      <c r="AB219" s="339"/>
      <c r="AC219" s="339"/>
      <c r="AD219" s="339"/>
      <c r="AE219" s="339"/>
      <c r="AF219" s="339"/>
    </row>
    <row r="220" spans="1:32" s="338" customFormat="1" ht="30.75" customHeight="1" x14ac:dyDescent="0.25">
      <c r="A220" s="337"/>
      <c r="B220" s="341" t="s">
        <v>341</v>
      </c>
      <c r="C220" s="342" t="s">
        <v>85</v>
      </c>
      <c r="D220" s="343">
        <v>34</v>
      </c>
      <c r="E220" s="346">
        <v>32</v>
      </c>
      <c r="F220" s="345">
        <f>E220/D220*100</f>
        <v>94.117647058823522</v>
      </c>
      <c r="G220" s="697"/>
      <c r="H220" s="715"/>
      <c r="I220" s="337"/>
      <c r="J220" s="337"/>
      <c r="K220" s="337"/>
      <c r="L220" s="337"/>
      <c r="M220" s="337"/>
      <c r="N220" s="337"/>
      <c r="O220" s="337"/>
      <c r="P220" s="337"/>
      <c r="Q220" s="337"/>
      <c r="R220" s="337"/>
      <c r="S220" s="337"/>
      <c r="T220" s="337"/>
      <c r="U220" s="337"/>
      <c r="V220" s="337"/>
      <c r="W220" s="337"/>
      <c r="X220" s="337"/>
      <c r="Y220" s="337"/>
      <c r="Z220" s="337"/>
      <c r="AA220" s="337"/>
      <c r="AB220" s="337"/>
      <c r="AC220" s="337"/>
      <c r="AD220" s="337"/>
      <c r="AE220" s="337"/>
      <c r="AF220" s="337"/>
    </row>
    <row r="221" spans="1:32" s="338" customFormat="1" ht="30.75" customHeight="1" x14ac:dyDescent="0.25">
      <c r="A221" s="337"/>
      <c r="B221" s="341" t="s">
        <v>342</v>
      </c>
      <c r="C221" s="342" t="s">
        <v>52</v>
      </c>
      <c r="D221" s="343">
        <v>9</v>
      </c>
      <c r="E221" s="346">
        <v>32</v>
      </c>
      <c r="F221" s="345">
        <v>100</v>
      </c>
      <c r="G221" s="697"/>
      <c r="H221" s="715"/>
      <c r="I221" s="337"/>
      <c r="J221" s="337"/>
      <c r="K221" s="337"/>
      <c r="L221" s="337"/>
      <c r="M221" s="337"/>
      <c r="N221" s="337"/>
      <c r="O221" s="337"/>
      <c r="P221" s="337"/>
      <c r="Q221" s="337"/>
      <c r="R221" s="337"/>
      <c r="S221" s="337"/>
      <c r="T221" s="337"/>
      <c r="U221" s="337"/>
      <c r="V221" s="337"/>
      <c r="W221" s="337"/>
      <c r="X221" s="337"/>
      <c r="Y221" s="337"/>
      <c r="Z221" s="337"/>
      <c r="AA221" s="337"/>
      <c r="AB221" s="337"/>
      <c r="AC221" s="337"/>
      <c r="AD221" s="337"/>
      <c r="AE221" s="337"/>
      <c r="AF221" s="337"/>
    </row>
    <row r="222" spans="1:32" s="311" customFormat="1" ht="36" customHeight="1" x14ac:dyDescent="0.25">
      <c r="A222" s="678">
        <v>12</v>
      </c>
      <c r="B222" s="820" t="s">
        <v>1295</v>
      </c>
      <c r="C222" s="820"/>
      <c r="D222" s="820"/>
      <c r="E222" s="820"/>
      <c r="F222" s="820"/>
      <c r="G222" s="681">
        <f>SUM(F224:F225)/2</f>
        <v>95.736543909348441</v>
      </c>
      <c r="H222" s="708"/>
      <c r="I222" s="678"/>
      <c r="J222" s="678"/>
      <c r="K222" s="678"/>
      <c r="L222" s="678"/>
      <c r="M222" s="678"/>
      <c r="N222" s="678"/>
      <c r="O222" s="678"/>
      <c r="P222" s="678"/>
      <c r="Q222" s="678"/>
      <c r="R222" s="678"/>
      <c r="S222" s="678"/>
      <c r="T222" s="678"/>
      <c r="U222" s="678"/>
      <c r="V222" s="678"/>
      <c r="W222" s="678"/>
      <c r="X222" s="678"/>
      <c r="Y222" s="678"/>
      <c r="Z222" s="678"/>
      <c r="AA222" s="678"/>
      <c r="AB222" s="678"/>
      <c r="AC222" s="678"/>
      <c r="AD222" s="678"/>
      <c r="AE222" s="678"/>
      <c r="AF222" s="678"/>
    </row>
    <row r="223" spans="1:32" ht="40.5" customHeight="1" x14ac:dyDescent="0.25">
      <c r="B223" s="773" t="s">
        <v>343</v>
      </c>
      <c r="C223" s="774"/>
      <c r="D223" s="774"/>
      <c r="E223" s="774"/>
      <c r="F223" s="774"/>
      <c r="G223" s="774"/>
      <c r="H223" s="775"/>
    </row>
    <row r="224" spans="1:32" ht="47.25" x14ac:dyDescent="0.25">
      <c r="B224" s="104" t="s">
        <v>344</v>
      </c>
      <c r="C224" s="258" t="s">
        <v>52</v>
      </c>
      <c r="D224" s="105">
        <v>11</v>
      </c>
      <c r="E224" s="258">
        <v>12</v>
      </c>
      <c r="F224" s="75">
        <v>100</v>
      </c>
      <c r="G224" s="698"/>
    </row>
    <row r="225" spans="1:33" ht="54" customHeight="1" x14ac:dyDescent="0.25">
      <c r="B225" s="104" t="s">
        <v>345</v>
      </c>
      <c r="C225" s="258" t="s">
        <v>52</v>
      </c>
      <c r="D225" s="105">
        <v>35.299999999999997</v>
      </c>
      <c r="E225" s="258">
        <v>32.29</v>
      </c>
      <c r="F225" s="75">
        <f>SUM(E225/D225*100)</f>
        <v>91.473087818696882</v>
      </c>
      <c r="G225" s="698"/>
    </row>
    <row r="226" spans="1:33" s="311" customFormat="1" x14ac:dyDescent="0.25">
      <c r="A226" s="678">
        <v>13</v>
      </c>
      <c r="B226" s="820" t="s">
        <v>346</v>
      </c>
      <c r="C226" s="820"/>
      <c r="D226" s="820"/>
      <c r="E226" s="820"/>
      <c r="F226" s="820"/>
      <c r="G226" s="691">
        <f>SUM(F229+F230+F231+F232+F233+F235+F237+F238+F241+F242+F239)/11</f>
        <v>95.473991249392327</v>
      </c>
      <c r="H226" s="708"/>
      <c r="I226" s="678"/>
      <c r="J226" s="678"/>
      <c r="K226" s="678"/>
      <c r="L226" s="678"/>
      <c r="M226" s="678"/>
      <c r="N226" s="678"/>
      <c r="O226" s="678"/>
      <c r="P226" s="678"/>
      <c r="Q226" s="678"/>
      <c r="R226" s="678"/>
      <c r="S226" s="678"/>
      <c r="T226" s="678"/>
      <c r="U226" s="678"/>
      <c r="V226" s="678"/>
      <c r="W226" s="678"/>
      <c r="X226" s="678"/>
      <c r="Y226" s="678"/>
      <c r="Z226" s="678"/>
      <c r="AA226" s="678"/>
      <c r="AB226" s="678"/>
      <c r="AC226" s="678"/>
      <c r="AD226" s="678"/>
      <c r="AE226" s="678"/>
      <c r="AF226" s="678"/>
    </row>
    <row r="227" spans="1:33" ht="37.5" customHeight="1" x14ac:dyDescent="0.25">
      <c r="B227" s="800" t="s">
        <v>347</v>
      </c>
      <c r="C227" s="801"/>
      <c r="D227" s="801"/>
      <c r="E227" s="801"/>
      <c r="F227" s="801"/>
      <c r="G227" s="801"/>
      <c r="H227" s="802"/>
    </row>
    <row r="228" spans="1:33" x14ac:dyDescent="0.25">
      <c r="A228" s="106"/>
      <c r="B228" s="834" t="s">
        <v>348</v>
      </c>
      <c r="C228" s="834"/>
      <c r="D228" s="834"/>
      <c r="E228" s="834"/>
      <c r="F228" s="834"/>
      <c r="G228" s="699"/>
    </row>
    <row r="229" spans="1:33" s="59" customFormat="1" x14ac:dyDescent="0.25">
      <c r="B229" s="378" t="s">
        <v>349</v>
      </c>
      <c r="C229" s="429" t="s">
        <v>52</v>
      </c>
      <c r="D229" s="430">
        <v>10</v>
      </c>
      <c r="E229" s="310">
        <v>11.2</v>
      </c>
      <c r="F229" s="75">
        <v>100</v>
      </c>
      <c r="G229" s="688"/>
      <c r="H229" s="431"/>
      <c r="AG229" s="705"/>
    </row>
    <row r="230" spans="1:33" s="59" customFormat="1" x14ac:dyDescent="0.25">
      <c r="B230" s="378" t="s">
        <v>350</v>
      </c>
      <c r="C230" s="429" t="s">
        <v>52</v>
      </c>
      <c r="D230" s="105">
        <v>5.2</v>
      </c>
      <c r="E230" s="310">
        <v>7.9</v>
      </c>
      <c r="F230" s="75">
        <v>100</v>
      </c>
      <c r="G230" s="688"/>
      <c r="H230" s="431"/>
      <c r="AG230" s="705"/>
    </row>
    <row r="231" spans="1:33" s="34" customFormat="1" ht="31.5" x14ac:dyDescent="0.25">
      <c r="B231" s="107" t="s">
        <v>351</v>
      </c>
      <c r="C231" s="108" t="s">
        <v>52</v>
      </c>
      <c r="D231" s="110">
        <v>2</v>
      </c>
      <c r="E231" s="90">
        <v>14.3</v>
      </c>
      <c r="F231" s="75">
        <v>100</v>
      </c>
      <c r="G231" s="688"/>
      <c r="H231" s="109"/>
      <c r="AG231" s="706"/>
    </row>
    <row r="232" spans="1:33" s="34" customFormat="1" ht="118.5" customHeight="1" x14ac:dyDescent="0.25">
      <c r="B232" s="603" t="s">
        <v>352</v>
      </c>
      <c r="C232" s="108" t="s">
        <v>52</v>
      </c>
      <c r="D232" s="110">
        <v>55</v>
      </c>
      <c r="E232" s="111">
        <v>37</v>
      </c>
      <c r="F232" s="75">
        <f t="shared" ref="F232:F238" si="7">SUM(E232/D232)*100</f>
        <v>67.272727272727266</v>
      </c>
      <c r="G232" s="688"/>
      <c r="H232" s="109" t="s">
        <v>1258</v>
      </c>
      <c r="AG232" s="706"/>
    </row>
    <row r="233" spans="1:33" s="34" customFormat="1" ht="31.5" x14ac:dyDescent="0.25">
      <c r="B233" s="107" t="s">
        <v>353</v>
      </c>
      <c r="C233" s="108" t="s">
        <v>53</v>
      </c>
      <c r="D233" s="110">
        <v>574</v>
      </c>
      <c r="E233" s="111">
        <v>921</v>
      </c>
      <c r="F233" s="75">
        <v>100</v>
      </c>
      <c r="G233" s="688"/>
      <c r="H233" s="109"/>
      <c r="AG233" s="706"/>
    </row>
    <row r="234" spans="1:33" x14ac:dyDescent="0.25">
      <c r="B234" s="829" t="s">
        <v>354</v>
      </c>
      <c r="C234" s="829"/>
      <c r="D234" s="829"/>
      <c r="E234" s="829"/>
      <c r="F234" s="830"/>
      <c r="G234" s="830"/>
    </row>
    <row r="235" spans="1:33" ht="31.5" x14ac:dyDescent="0.25">
      <c r="A235" s="112"/>
      <c r="B235" s="113" t="s">
        <v>355</v>
      </c>
      <c r="C235" s="40" t="s">
        <v>85</v>
      </c>
      <c r="D235" s="40">
        <v>10</v>
      </c>
      <c r="E235" s="40">
        <v>10</v>
      </c>
      <c r="F235" s="75">
        <f t="shared" si="7"/>
        <v>100</v>
      </c>
      <c r="G235" s="700"/>
    </row>
    <row r="236" spans="1:33" x14ac:dyDescent="0.25">
      <c r="B236" s="829" t="s">
        <v>1262</v>
      </c>
      <c r="C236" s="829"/>
      <c r="D236" s="829"/>
      <c r="E236" s="829"/>
      <c r="F236" s="830"/>
      <c r="G236" s="830"/>
    </row>
    <row r="237" spans="1:33" ht="33" customHeight="1" x14ac:dyDescent="0.25">
      <c r="B237" s="114" t="s">
        <v>356</v>
      </c>
      <c r="C237" s="115" t="s">
        <v>52</v>
      </c>
      <c r="D237" s="115">
        <v>34</v>
      </c>
      <c r="E237" s="44">
        <v>28.2</v>
      </c>
      <c r="F237" s="75">
        <f>E237/D237*100</f>
        <v>82.941176470588232</v>
      </c>
      <c r="G237" s="688"/>
    </row>
    <row r="238" spans="1:33" x14ac:dyDescent="0.25">
      <c r="B238" s="114" t="s">
        <v>357</v>
      </c>
      <c r="C238" s="115" t="s">
        <v>53</v>
      </c>
      <c r="D238" s="115">
        <v>4</v>
      </c>
      <c r="E238" s="44">
        <v>4</v>
      </c>
      <c r="F238" s="75">
        <f t="shared" si="7"/>
        <v>100</v>
      </c>
      <c r="G238" s="688"/>
    </row>
    <row r="239" spans="1:33" s="338" customFormat="1" x14ac:dyDescent="0.25">
      <c r="A239" s="337"/>
      <c r="B239" s="598" t="s">
        <v>1267</v>
      </c>
      <c r="C239" s="599" t="s">
        <v>52</v>
      </c>
      <c r="D239" s="599">
        <v>0</v>
      </c>
      <c r="E239" s="600">
        <v>23</v>
      </c>
      <c r="F239" s="345">
        <v>100</v>
      </c>
      <c r="G239" s="701"/>
      <c r="H239" s="715"/>
      <c r="I239" s="337"/>
      <c r="J239" s="337"/>
      <c r="K239" s="337"/>
      <c r="L239" s="337"/>
      <c r="M239" s="337"/>
      <c r="N239" s="337"/>
      <c r="O239" s="337"/>
      <c r="P239" s="337"/>
      <c r="Q239" s="337"/>
      <c r="R239" s="337"/>
      <c r="S239" s="337"/>
      <c r="T239" s="337"/>
      <c r="U239" s="337"/>
      <c r="V239" s="337"/>
      <c r="W239" s="337"/>
      <c r="X239" s="337"/>
      <c r="Y239" s="337"/>
      <c r="Z239" s="337"/>
      <c r="AA239" s="337"/>
      <c r="AB239" s="337"/>
      <c r="AC239" s="337"/>
      <c r="AD239" s="337"/>
      <c r="AE239" s="337"/>
      <c r="AF239" s="337"/>
    </row>
    <row r="240" spans="1:33" x14ac:dyDescent="0.25">
      <c r="B240" s="829" t="s">
        <v>358</v>
      </c>
      <c r="C240" s="829"/>
      <c r="D240" s="829"/>
      <c r="E240" s="829"/>
      <c r="F240" s="830"/>
      <c r="G240" s="830"/>
    </row>
    <row r="241" spans="1:247" ht="44.25" customHeight="1" x14ac:dyDescent="0.25">
      <c r="B241" s="116" t="s">
        <v>359</v>
      </c>
      <c r="C241" s="117" t="s">
        <v>52</v>
      </c>
      <c r="D241" s="117">
        <v>20</v>
      </c>
      <c r="E241" s="103">
        <v>16.399999999999999</v>
      </c>
      <c r="F241" s="75">
        <v>100</v>
      </c>
      <c r="G241" s="688"/>
    </row>
    <row r="242" spans="1:247" ht="49.5" customHeight="1" x14ac:dyDescent="0.25">
      <c r="B242" s="116" t="s">
        <v>360</v>
      </c>
      <c r="C242" s="117" t="s">
        <v>122</v>
      </c>
      <c r="D242" s="117">
        <v>227</v>
      </c>
      <c r="E242" s="118">
        <v>546</v>
      </c>
      <c r="F242" s="75">
        <v>100</v>
      </c>
      <c r="G242" s="688"/>
    </row>
    <row r="243" spans="1:247" s="311" customFormat="1" ht="29.25" customHeight="1" x14ac:dyDescent="0.25">
      <c r="A243" s="678">
        <v>14</v>
      </c>
      <c r="B243" s="820" t="s">
        <v>361</v>
      </c>
      <c r="C243" s="820"/>
      <c r="D243" s="820"/>
      <c r="E243" s="820"/>
      <c r="F243" s="820"/>
      <c r="G243" s="691">
        <f>(F246+F247+F248+F250+F251)/5</f>
        <v>93.569407603890369</v>
      </c>
      <c r="H243" s="708"/>
      <c r="I243" s="678"/>
      <c r="J243" s="678"/>
      <c r="K243" s="678"/>
      <c r="L243" s="678"/>
      <c r="M243" s="678"/>
      <c r="N243" s="678"/>
      <c r="O243" s="678"/>
      <c r="P243" s="678"/>
      <c r="Q243" s="678"/>
      <c r="R243" s="678"/>
      <c r="S243" s="678"/>
      <c r="T243" s="678"/>
      <c r="U243" s="678"/>
      <c r="V243" s="678"/>
      <c r="W243" s="678"/>
      <c r="X243" s="678"/>
      <c r="Y243" s="678"/>
      <c r="Z243" s="678"/>
      <c r="AA243" s="678"/>
      <c r="AB243" s="678"/>
      <c r="AC243" s="678"/>
      <c r="AD243" s="678"/>
      <c r="AE243" s="678"/>
      <c r="AF243" s="678"/>
    </row>
    <row r="244" spans="1:247" ht="47.25" customHeight="1" x14ac:dyDescent="0.25">
      <c r="B244" s="794" t="s">
        <v>362</v>
      </c>
      <c r="C244" s="795"/>
      <c r="D244" s="795"/>
      <c r="E244" s="795"/>
      <c r="F244" s="795"/>
      <c r="G244" s="795"/>
      <c r="H244" s="796"/>
    </row>
    <row r="245" spans="1:247" s="338" customFormat="1" ht="18" customHeight="1" x14ac:dyDescent="0.25">
      <c r="A245" s="337"/>
      <c r="B245" s="831" t="s">
        <v>363</v>
      </c>
      <c r="C245" s="832"/>
      <c r="D245" s="832"/>
      <c r="E245" s="832"/>
      <c r="F245" s="832"/>
      <c r="G245" s="833"/>
      <c r="H245" s="715"/>
      <c r="I245" s="337"/>
      <c r="J245" s="337"/>
      <c r="K245" s="337"/>
      <c r="L245" s="337"/>
      <c r="M245" s="337"/>
      <c r="N245" s="337"/>
      <c r="O245" s="337"/>
      <c r="P245" s="337"/>
      <c r="Q245" s="337"/>
      <c r="R245" s="337"/>
      <c r="S245" s="337"/>
      <c r="T245" s="337"/>
      <c r="U245" s="337"/>
      <c r="V245" s="337"/>
      <c r="W245" s="337"/>
      <c r="X245" s="337"/>
      <c r="Y245" s="337"/>
      <c r="Z245" s="337"/>
      <c r="AA245" s="337"/>
      <c r="AB245" s="337"/>
      <c r="AC245" s="337"/>
      <c r="AD245" s="337"/>
      <c r="AE245" s="337"/>
      <c r="AF245" s="337"/>
    </row>
    <row r="246" spans="1:247" s="338" customFormat="1" ht="36" customHeight="1" x14ac:dyDescent="0.25">
      <c r="A246" s="337"/>
      <c r="B246" s="347" t="s">
        <v>177</v>
      </c>
      <c r="C246" s="348" t="s">
        <v>66</v>
      </c>
      <c r="D246" s="342">
        <v>11</v>
      </c>
      <c r="E246" s="349">
        <v>12</v>
      </c>
      <c r="F246" s="345">
        <f>D246/E246*100</f>
        <v>91.666666666666657</v>
      </c>
      <c r="G246" s="701"/>
      <c r="H246" s="715"/>
      <c r="I246" s="337"/>
      <c r="J246" s="337"/>
      <c r="K246" s="337"/>
      <c r="L246" s="337"/>
      <c r="M246" s="337"/>
      <c r="N246" s="337"/>
      <c r="O246" s="337"/>
      <c r="P246" s="337"/>
      <c r="Q246" s="337"/>
      <c r="R246" s="337"/>
      <c r="S246" s="337"/>
      <c r="T246" s="337"/>
      <c r="U246" s="337"/>
      <c r="V246" s="337"/>
      <c r="W246" s="337"/>
      <c r="X246" s="337"/>
      <c r="Y246" s="337"/>
      <c r="Z246" s="337"/>
      <c r="AA246" s="337"/>
      <c r="AB246" s="337"/>
      <c r="AC246" s="337"/>
      <c r="AD246" s="337"/>
      <c r="AE246" s="337"/>
      <c r="AF246" s="337"/>
    </row>
    <row r="247" spans="1:247" s="338" customFormat="1" ht="18" customHeight="1" x14ac:dyDescent="0.25">
      <c r="A247" s="337"/>
      <c r="B247" s="350" t="s">
        <v>364</v>
      </c>
      <c r="C247" s="348" t="s">
        <v>85</v>
      </c>
      <c r="D247" s="344">
        <v>27</v>
      </c>
      <c r="E247" s="351">
        <v>29</v>
      </c>
      <c r="F247" s="345">
        <f>D247/E247*100</f>
        <v>93.103448275862064</v>
      </c>
      <c r="G247" s="701"/>
      <c r="H247" s="715"/>
      <c r="I247" s="337"/>
      <c r="J247" s="337"/>
      <c r="K247" s="337"/>
      <c r="L247" s="337"/>
      <c r="M247" s="337"/>
      <c r="N247" s="337"/>
      <c r="O247" s="337"/>
      <c r="P247" s="337"/>
      <c r="Q247" s="337"/>
      <c r="R247" s="337"/>
      <c r="S247" s="337"/>
      <c r="T247" s="337"/>
      <c r="U247" s="337"/>
      <c r="V247" s="337"/>
      <c r="W247" s="337"/>
      <c r="X247" s="337"/>
      <c r="Y247" s="337"/>
      <c r="Z247" s="337"/>
      <c r="AA247" s="337"/>
      <c r="AB247" s="337"/>
      <c r="AC247" s="337"/>
      <c r="AD247" s="337"/>
      <c r="AE247" s="337"/>
      <c r="AF247" s="337"/>
    </row>
    <row r="248" spans="1:247" s="338" customFormat="1" ht="47.25" x14ac:dyDescent="0.25">
      <c r="A248" s="337"/>
      <c r="B248" s="347" t="s">
        <v>178</v>
      </c>
      <c r="C248" s="344" t="s">
        <v>52</v>
      </c>
      <c r="D248" s="344">
        <v>100</v>
      </c>
      <c r="E248" s="351">
        <v>100</v>
      </c>
      <c r="F248" s="345">
        <v>100</v>
      </c>
      <c r="G248" s="701"/>
      <c r="H248" s="715"/>
      <c r="I248" s="337"/>
      <c r="J248" s="337"/>
      <c r="K248" s="337"/>
      <c r="L248" s="337"/>
      <c r="M248" s="337"/>
      <c r="N248" s="337"/>
      <c r="O248" s="337"/>
      <c r="P248" s="337"/>
      <c r="Q248" s="337"/>
      <c r="R248" s="337"/>
      <c r="S248" s="337"/>
      <c r="T248" s="337"/>
      <c r="U248" s="337"/>
      <c r="V248" s="337"/>
      <c r="W248" s="337"/>
      <c r="X248" s="337"/>
      <c r="Y248" s="337"/>
      <c r="Z248" s="337"/>
      <c r="AA248" s="337"/>
      <c r="AB248" s="337"/>
      <c r="AC248" s="337"/>
      <c r="AD248" s="337"/>
      <c r="AE248" s="337"/>
      <c r="AF248" s="337"/>
    </row>
    <row r="249" spans="1:247" s="338" customFormat="1" ht="18" customHeight="1" x14ac:dyDescent="0.25">
      <c r="A249" s="337"/>
      <c r="B249" s="831" t="s">
        <v>1299</v>
      </c>
      <c r="C249" s="832"/>
      <c r="D249" s="832"/>
      <c r="E249" s="832"/>
      <c r="F249" s="832"/>
      <c r="G249" s="833"/>
      <c r="H249" s="715"/>
      <c r="I249" s="337"/>
      <c r="J249" s="337"/>
      <c r="K249" s="337"/>
      <c r="L249" s="337"/>
      <c r="M249" s="337"/>
      <c r="N249" s="337"/>
      <c r="O249" s="337"/>
      <c r="P249" s="337"/>
      <c r="Q249" s="337"/>
      <c r="R249" s="337"/>
      <c r="S249" s="337"/>
      <c r="T249" s="337"/>
      <c r="U249" s="337"/>
      <c r="V249" s="337"/>
      <c r="W249" s="337"/>
      <c r="X249" s="337"/>
      <c r="Y249" s="337"/>
      <c r="Z249" s="337"/>
      <c r="AA249" s="337"/>
      <c r="AB249" s="337"/>
      <c r="AC249" s="337"/>
      <c r="AD249" s="337"/>
      <c r="AE249" s="337"/>
      <c r="AF249" s="337"/>
    </row>
    <row r="250" spans="1:247" s="338" customFormat="1" ht="30" customHeight="1" x14ac:dyDescent="0.25">
      <c r="A250" s="337"/>
      <c r="B250" s="347" t="s">
        <v>365</v>
      </c>
      <c r="C250" s="348" t="s">
        <v>85</v>
      </c>
      <c r="D250" s="342">
        <v>54</v>
      </c>
      <c r="E250" s="352">
        <v>65</v>
      </c>
      <c r="F250" s="345">
        <f>D250/E250*100</f>
        <v>83.07692307692308</v>
      </c>
      <c r="G250" s="701"/>
      <c r="H250" s="715"/>
      <c r="I250" s="337"/>
      <c r="J250" s="337"/>
      <c r="K250" s="337"/>
      <c r="L250" s="337"/>
      <c r="M250" s="337"/>
      <c r="N250" s="337"/>
      <c r="O250" s="337"/>
      <c r="P250" s="337"/>
      <c r="Q250" s="337"/>
      <c r="R250" s="337"/>
      <c r="S250" s="337"/>
      <c r="T250" s="337"/>
      <c r="U250" s="337"/>
      <c r="V250" s="337"/>
      <c r="W250" s="337"/>
      <c r="X250" s="337"/>
      <c r="Y250" s="337"/>
      <c r="Z250" s="337"/>
      <c r="AA250" s="337"/>
      <c r="AB250" s="337"/>
      <c r="AC250" s="337"/>
      <c r="AD250" s="337"/>
      <c r="AE250" s="337"/>
      <c r="AF250" s="337"/>
    </row>
    <row r="251" spans="1:247" s="338" customFormat="1" ht="19.5" customHeight="1" x14ac:dyDescent="0.25">
      <c r="A251" s="337"/>
      <c r="B251" s="350" t="s">
        <v>366</v>
      </c>
      <c r="C251" s="348" t="s">
        <v>85</v>
      </c>
      <c r="D251" s="344">
        <v>5</v>
      </c>
      <c r="E251" s="352">
        <v>6</v>
      </c>
      <c r="F251" s="345">
        <v>100</v>
      </c>
      <c r="G251" s="701"/>
      <c r="H251" s="715"/>
      <c r="I251" s="337"/>
      <c r="J251" s="337"/>
      <c r="K251" s="337"/>
      <c r="L251" s="337"/>
      <c r="M251" s="337"/>
      <c r="N251" s="337"/>
      <c r="O251" s="337"/>
      <c r="P251" s="337"/>
      <c r="Q251" s="337"/>
      <c r="R251" s="337"/>
      <c r="S251" s="337"/>
      <c r="T251" s="337"/>
      <c r="U251" s="337"/>
      <c r="V251" s="337"/>
      <c r="W251" s="337"/>
      <c r="X251" s="337"/>
      <c r="Y251" s="337"/>
      <c r="Z251" s="337"/>
      <c r="AA251" s="337"/>
      <c r="AB251" s="337"/>
      <c r="AC251" s="337"/>
      <c r="AD251" s="337"/>
      <c r="AE251" s="337"/>
      <c r="AF251" s="337"/>
    </row>
    <row r="252" spans="1:247" s="311" customFormat="1" x14ac:dyDescent="0.25">
      <c r="A252" s="678">
        <v>15</v>
      </c>
      <c r="B252" s="820" t="s">
        <v>1325</v>
      </c>
      <c r="C252" s="820"/>
      <c r="D252" s="820"/>
      <c r="E252" s="820"/>
      <c r="F252" s="820"/>
      <c r="G252" s="691">
        <f>SUM(F255:F263)/5</f>
        <v>88.333333333333343</v>
      </c>
      <c r="H252" s="708"/>
      <c r="I252" s="678"/>
      <c r="J252" s="678"/>
      <c r="K252" s="678"/>
      <c r="L252" s="678"/>
      <c r="M252" s="678"/>
      <c r="N252" s="678"/>
      <c r="O252" s="678"/>
      <c r="P252" s="678"/>
      <c r="Q252" s="678"/>
      <c r="R252" s="678"/>
      <c r="S252" s="678"/>
      <c r="T252" s="678"/>
      <c r="U252" s="678"/>
      <c r="V252" s="678"/>
      <c r="W252" s="678"/>
      <c r="X252" s="678"/>
      <c r="Y252" s="678"/>
      <c r="Z252" s="678"/>
      <c r="AA252" s="678"/>
      <c r="AB252" s="678"/>
      <c r="AC252" s="678"/>
      <c r="AD252" s="678"/>
      <c r="AE252" s="678"/>
      <c r="AF252" s="678"/>
    </row>
    <row r="253" spans="1:247" ht="33.75" customHeight="1" x14ac:dyDescent="0.25">
      <c r="B253" s="800" t="s">
        <v>1327</v>
      </c>
      <c r="C253" s="801"/>
      <c r="D253" s="801"/>
      <c r="E253" s="801"/>
      <c r="F253" s="801"/>
      <c r="G253" s="801"/>
      <c r="H253" s="802"/>
      <c r="I253" s="718"/>
      <c r="J253" s="718"/>
      <c r="K253" s="718"/>
      <c r="L253" s="718"/>
      <c r="M253" s="718"/>
      <c r="N253" s="718"/>
      <c r="O253" s="718"/>
      <c r="P253" s="718"/>
      <c r="Q253" s="718"/>
      <c r="R253" s="718"/>
      <c r="S253" s="718"/>
      <c r="T253" s="718"/>
      <c r="U253" s="718"/>
      <c r="V253" s="718"/>
      <c r="W253" s="718"/>
      <c r="X253" s="718"/>
      <c r="Y253" s="718"/>
      <c r="Z253" s="718"/>
      <c r="AA253" s="718"/>
      <c r="AB253" s="718"/>
      <c r="AC253" s="718"/>
      <c r="AD253" s="718"/>
      <c r="AE253" s="718"/>
      <c r="AF253" s="718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20"/>
      <c r="AV253" s="120"/>
      <c r="AW253" s="120"/>
      <c r="AX253" s="120"/>
      <c r="AY253" s="120"/>
      <c r="AZ253" s="120"/>
      <c r="BA253" s="120"/>
      <c r="BB253" s="120"/>
      <c r="BC253" s="120"/>
      <c r="BD253" s="120"/>
      <c r="BE253" s="120"/>
      <c r="BF253" s="120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20"/>
      <c r="BS253" s="120"/>
      <c r="BT253" s="120"/>
      <c r="BU253" s="120"/>
      <c r="BV253" s="120"/>
      <c r="BW253" s="120"/>
      <c r="BX253" s="120"/>
      <c r="BY253" s="120"/>
      <c r="BZ253" s="120"/>
      <c r="CA253" s="120"/>
      <c r="CB253" s="120"/>
      <c r="CC253" s="120"/>
      <c r="CD253" s="120"/>
      <c r="CE253" s="120"/>
      <c r="CF253" s="120"/>
      <c r="CG253" s="120"/>
      <c r="CH253" s="120"/>
      <c r="CI253" s="120"/>
      <c r="CJ253" s="120"/>
      <c r="CK253" s="120"/>
      <c r="CL253" s="120"/>
      <c r="CM253" s="120"/>
      <c r="CN253" s="120"/>
      <c r="CO253" s="120"/>
      <c r="CP253" s="120"/>
      <c r="CQ253" s="120"/>
      <c r="CR253" s="120"/>
      <c r="CS253" s="120"/>
      <c r="CT253" s="120"/>
      <c r="CU253" s="120"/>
      <c r="CV253" s="120"/>
      <c r="CW253" s="120"/>
      <c r="CX253" s="120"/>
      <c r="CY253" s="120"/>
      <c r="CZ253" s="120"/>
      <c r="DA253" s="120"/>
      <c r="DB253" s="120"/>
      <c r="DC253" s="120"/>
      <c r="DD253" s="120"/>
      <c r="DE253" s="120"/>
      <c r="DF253" s="120"/>
      <c r="DG253" s="120"/>
      <c r="DH253" s="120"/>
      <c r="DI253" s="120"/>
      <c r="DJ253" s="120"/>
      <c r="DK253" s="120"/>
      <c r="DL253" s="120"/>
      <c r="DM253" s="120"/>
      <c r="DN253" s="120"/>
      <c r="DO253" s="120"/>
      <c r="DP253" s="120"/>
      <c r="DQ253" s="120"/>
      <c r="DR253" s="120"/>
      <c r="DS253" s="120"/>
      <c r="DT253" s="120"/>
      <c r="DU253" s="120"/>
      <c r="DV253" s="120"/>
      <c r="DW253" s="120"/>
      <c r="DX253" s="120"/>
      <c r="DY253" s="120"/>
      <c r="DZ253" s="120"/>
      <c r="EA253" s="120"/>
      <c r="EB253" s="120"/>
      <c r="EC253" s="120"/>
      <c r="ED253" s="120"/>
      <c r="EE253" s="120"/>
      <c r="EF253" s="120"/>
      <c r="EG253" s="120"/>
      <c r="EH253" s="120"/>
      <c r="EI253" s="120"/>
      <c r="EJ253" s="120"/>
      <c r="EK253" s="120"/>
      <c r="EL253" s="120"/>
      <c r="EM253" s="120"/>
      <c r="EN253" s="120"/>
      <c r="EO253" s="120"/>
      <c r="EP253" s="120"/>
      <c r="EQ253" s="120"/>
      <c r="ER253" s="120"/>
      <c r="ES253" s="120"/>
      <c r="ET253" s="120"/>
      <c r="EU253" s="120"/>
      <c r="EV253" s="120"/>
      <c r="EW253" s="120"/>
      <c r="EX253" s="120"/>
      <c r="EY253" s="120"/>
      <c r="EZ253" s="120"/>
      <c r="FA253" s="120"/>
      <c r="FB253" s="120"/>
      <c r="FC253" s="120"/>
      <c r="FD253" s="120"/>
      <c r="FE253" s="120"/>
      <c r="FF253" s="120"/>
      <c r="FG253" s="120"/>
      <c r="FH253" s="120"/>
      <c r="FI253" s="120"/>
      <c r="FJ253" s="120"/>
      <c r="FK253" s="120"/>
      <c r="FL253" s="120"/>
      <c r="FM253" s="120"/>
      <c r="FN253" s="120"/>
      <c r="FO253" s="120"/>
      <c r="FP253" s="120"/>
      <c r="FQ253" s="120"/>
      <c r="FR253" s="120"/>
      <c r="FS253" s="120"/>
      <c r="FT253" s="120"/>
      <c r="FU253" s="120"/>
      <c r="FV253" s="120"/>
      <c r="FW253" s="120"/>
      <c r="FX253" s="120"/>
      <c r="FY253" s="120"/>
      <c r="FZ253" s="120"/>
      <c r="GA253" s="120"/>
      <c r="GB253" s="120"/>
      <c r="GC253" s="120"/>
      <c r="GD253" s="120"/>
      <c r="GE253" s="120"/>
      <c r="GF253" s="120"/>
      <c r="GG253" s="120"/>
      <c r="GH253" s="120"/>
      <c r="GI253" s="120"/>
      <c r="GJ253" s="120"/>
      <c r="GK253" s="120"/>
      <c r="GL253" s="120"/>
      <c r="GM253" s="120"/>
      <c r="GN253" s="120"/>
      <c r="GO253" s="120"/>
      <c r="GP253" s="120"/>
      <c r="GQ253" s="120"/>
      <c r="GR253" s="120"/>
      <c r="GS253" s="120"/>
      <c r="GT253" s="120"/>
      <c r="GU253" s="120"/>
      <c r="GV253" s="120"/>
      <c r="GW253" s="120"/>
      <c r="GX253" s="120"/>
      <c r="GY253" s="120"/>
      <c r="GZ253" s="120"/>
      <c r="HA253" s="120"/>
      <c r="HB253" s="120"/>
      <c r="HC253" s="120"/>
      <c r="HD253" s="120"/>
      <c r="HE253" s="120"/>
      <c r="HF253" s="120"/>
      <c r="HG253" s="120"/>
      <c r="HH253" s="120"/>
      <c r="HI253" s="120"/>
      <c r="HJ253" s="120"/>
      <c r="HK253" s="120"/>
      <c r="HL253" s="120"/>
      <c r="HM253" s="120"/>
      <c r="HN253" s="120"/>
      <c r="HO253" s="120"/>
      <c r="HP253" s="120"/>
      <c r="HQ253" s="120"/>
      <c r="HR253" s="120"/>
      <c r="HS253" s="120"/>
      <c r="HT253" s="120"/>
      <c r="HU253" s="120"/>
      <c r="HV253" s="120"/>
      <c r="HW253" s="120"/>
      <c r="HX253" s="120"/>
      <c r="HY253" s="120"/>
      <c r="HZ253" s="120"/>
      <c r="IA253" s="120"/>
      <c r="IB253" s="120"/>
      <c r="IC253" s="120"/>
      <c r="ID253" s="120"/>
      <c r="IE253" s="120"/>
      <c r="IF253" s="120"/>
      <c r="IG253" s="120"/>
      <c r="IH253" s="120"/>
      <c r="II253" s="120"/>
      <c r="IJ253" s="120"/>
      <c r="IK253" s="120"/>
      <c r="IL253" s="120"/>
      <c r="IM253" s="120"/>
    </row>
    <row r="254" spans="1:247" ht="14.25" customHeight="1" x14ac:dyDescent="0.25">
      <c r="B254" s="835" t="s">
        <v>367</v>
      </c>
      <c r="C254" s="835"/>
      <c r="D254" s="835"/>
      <c r="E254" s="835"/>
      <c r="F254" s="835"/>
      <c r="G254" s="836"/>
      <c r="H254" s="717"/>
      <c r="I254" s="718"/>
      <c r="J254" s="718"/>
      <c r="K254" s="718"/>
      <c r="L254" s="718"/>
      <c r="M254" s="718"/>
      <c r="N254" s="718"/>
      <c r="O254" s="718"/>
      <c r="P254" s="718"/>
      <c r="Q254" s="718"/>
      <c r="R254" s="718"/>
      <c r="S254" s="718"/>
      <c r="T254" s="718"/>
      <c r="U254" s="718"/>
      <c r="V254" s="718"/>
      <c r="W254" s="718"/>
      <c r="X254" s="718"/>
      <c r="Y254" s="718"/>
      <c r="Z254" s="718"/>
      <c r="AA254" s="718"/>
      <c r="AB254" s="718"/>
      <c r="AC254" s="718"/>
      <c r="AD254" s="718"/>
      <c r="AE254" s="718"/>
      <c r="AF254" s="718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20"/>
      <c r="AV254" s="120"/>
      <c r="AW254" s="120"/>
      <c r="AX254" s="120"/>
      <c r="AY254" s="120"/>
      <c r="AZ254" s="120"/>
      <c r="BA254" s="120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20"/>
      <c r="BS254" s="120"/>
      <c r="BT254" s="120"/>
      <c r="BU254" s="120"/>
      <c r="BV254" s="120"/>
      <c r="BW254" s="120"/>
      <c r="BX254" s="120"/>
      <c r="BY254" s="120"/>
      <c r="BZ254" s="120"/>
      <c r="CA254" s="120"/>
      <c r="CB254" s="120"/>
      <c r="CC254" s="120"/>
      <c r="CD254" s="120"/>
      <c r="CE254" s="120"/>
      <c r="CF254" s="120"/>
      <c r="CG254" s="120"/>
      <c r="CH254" s="120"/>
      <c r="CI254" s="120"/>
      <c r="CJ254" s="120"/>
      <c r="CK254" s="120"/>
      <c r="CL254" s="120"/>
      <c r="CM254" s="120"/>
      <c r="CN254" s="120"/>
      <c r="CO254" s="120"/>
      <c r="CP254" s="120"/>
      <c r="CQ254" s="120"/>
      <c r="CR254" s="120"/>
      <c r="CS254" s="120"/>
      <c r="CT254" s="120"/>
      <c r="CU254" s="120"/>
      <c r="CV254" s="120"/>
      <c r="CW254" s="120"/>
      <c r="CX254" s="120"/>
      <c r="CY254" s="120"/>
      <c r="CZ254" s="120"/>
      <c r="DA254" s="120"/>
      <c r="DB254" s="120"/>
      <c r="DC254" s="120"/>
      <c r="DD254" s="120"/>
      <c r="DE254" s="120"/>
      <c r="DF254" s="120"/>
      <c r="DG254" s="120"/>
      <c r="DH254" s="120"/>
      <c r="DI254" s="120"/>
      <c r="DJ254" s="120"/>
      <c r="DK254" s="120"/>
      <c r="DL254" s="120"/>
      <c r="DM254" s="120"/>
      <c r="DN254" s="120"/>
      <c r="DO254" s="120"/>
      <c r="DP254" s="120"/>
      <c r="DQ254" s="120"/>
      <c r="DR254" s="120"/>
      <c r="DS254" s="120"/>
      <c r="DT254" s="120"/>
      <c r="DU254" s="120"/>
      <c r="DV254" s="120"/>
      <c r="DW254" s="120"/>
      <c r="DX254" s="120"/>
      <c r="DY254" s="120"/>
      <c r="DZ254" s="120"/>
      <c r="EA254" s="120"/>
      <c r="EB254" s="120"/>
      <c r="EC254" s="120"/>
      <c r="ED254" s="120"/>
      <c r="EE254" s="120"/>
      <c r="EF254" s="120"/>
      <c r="EG254" s="120"/>
      <c r="EH254" s="120"/>
      <c r="EI254" s="120"/>
      <c r="EJ254" s="120"/>
      <c r="EK254" s="120"/>
      <c r="EL254" s="120"/>
      <c r="EM254" s="120"/>
      <c r="EN254" s="120"/>
      <c r="EO254" s="120"/>
      <c r="EP254" s="120"/>
      <c r="EQ254" s="120"/>
      <c r="ER254" s="120"/>
      <c r="ES254" s="120"/>
      <c r="ET254" s="120"/>
      <c r="EU254" s="120"/>
      <c r="EV254" s="120"/>
      <c r="EW254" s="120"/>
      <c r="EX254" s="120"/>
      <c r="EY254" s="120"/>
      <c r="EZ254" s="120"/>
      <c r="FA254" s="120"/>
      <c r="FB254" s="120"/>
      <c r="FC254" s="120"/>
      <c r="FD254" s="120"/>
      <c r="FE254" s="120"/>
      <c r="FF254" s="120"/>
      <c r="FG254" s="120"/>
      <c r="FH254" s="120"/>
      <c r="FI254" s="120"/>
      <c r="FJ254" s="120"/>
      <c r="FK254" s="120"/>
      <c r="FL254" s="120"/>
      <c r="FM254" s="120"/>
      <c r="FN254" s="120"/>
      <c r="FO254" s="120"/>
      <c r="FP254" s="120"/>
      <c r="FQ254" s="120"/>
      <c r="FR254" s="120"/>
      <c r="FS254" s="120"/>
      <c r="FT254" s="120"/>
      <c r="FU254" s="120"/>
      <c r="FV254" s="120"/>
      <c r="FW254" s="120"/>
      <c r="FX254" s="120"/>
      <c r="FY254" s="120"/>
      <c r="FZ254" s="120"/>
      <c r="GA254" s="120"/>
      <c r="GB254" s="120"/>
      <c r="GC254" s="120"/>
      <c r="GD254" s="120"/>
      <c r="GE254" s="120"/>
      <c r="GF254" s="120"/>
      <c r="GG254" s="120"/>
      <c r="GH254" s="120"/>
      <c r="GI254" s="120"/>
      <c r="GJ254" s="120"/>
      <c r="GK254" s="120"/>
      <c r="GL254" s="120"/>
      <c r="GM254" s="120"/>
      <c r="GN254" s="120"/>
      <c r="GO254" s="120"/>
      <c r="GP254" s="120"/>
      <c r="GQ254" s="120"/>
      <c r="GR254" s="120"/>
      <c r="GS254" s="120"/>
      <c r="GT254" s="120"/>
      <c r="GU254" s="120"/>
      <c r="GV254" s="120"/>
      <c r="GW254" s="120"/>
      <c r="GX254" s="120"/>
      <c r="GY254" s="120"/>
      <c r="GZ254" s="120"/>
      <c r="HA254" s="120"/>
      <c r="HB254" s="120"/>
      <c r="HC254" s="120"/>
      <c r="HD254" s="120"/>
      <c r="HE254" s="120"/>
      <c r="HF254" s="120"/>
      <c r="HG254" s="120"/>
      <c r="HH254" s="120"/>
      <c r="HI254" s="120"/>
      <c r="HJ254" s="120"/>
      <c r="HK254" s="120"/>
      <c r="HL254" s="120"/>
      <c r="HM254" s="120"/>
      <c r="HN254" s="120"/>
      <c r="HO254" s="120"/>
      <c r="HP254" s="120"/>
      <c r="HQ254" s="120"/>
      <c r="HR254" s="120"/>
      <c r="HS254" s="120"/>
      <c r="HT254" s="120"/>
      <c r="HU254" s="120"/>
      <c r="HV254" s="120"/>
      <c r="HW254" s="120"/>
      <c r="HX254" s="120"/>
      <c r="HY254" s="120"/>
      <c r="HZ254" s="120"/>
      <c r="IA254" s="120"/>
      <c r="IB254" s="120"/>
      <c r="IC254" s="120"/>
      <c r="ID254" s="120"/>
      <c r="IE254" s="120"/>
      <c r="IF254" s="120"/>
      <c r="IG254" s="120"/>
      <c r="IH254" s="120"/>
      <c r="II254" s="120"/>
      <c r="IJ254" s="120"/>
      <c r="IK254" s="120"/>
      <c r="IL254" s="120"/>
      <c r="IM254" s="120"/>
    </row>
    <row r="255" spans="1:247" ht="32.25" customHeight="1" x14ac:dyDescent="0.25">
      <c r="B255" s="121" t="s">
        <v>172</v>
      </c>
      <c r="C255" s="119" t="s">
        <v>85</v>
      </c>
      <c r="D255" s="122">
        <v>880</v>
      </c>
      <c r="E255" s="123">
        <v>891</v>
      </c>
      <c r="F255" s="75">
        <v>100</v>
      </c>
      <c r="G255" s="702"/>
      <c r="H255" s="717" t="s">
        <v>1129</v>
      </c>
      <c r="I255" s="718"/>
      <c r="J255" s="718"/>
      <c r="K255" s="718"/>
      <c r="L255" s="718"/>
      <c r="M255" s="718"/>
      <c r="N255" s="718"/>
      <c r="O255" s="718"/>
      <c r="P255" s="718"/>
      <c r="Q255" s="718"/>
      <c r="R255" s="718"/>
      <c r="S255" s="718"/>
      <c r="T255" s="718"/>
      <c r="U255" s="718"/>
      <c r="V255" s="718"/>
      <c r="W255" s="718"/>
      <c r="X255" s="718"/>
      <c r="Y255" s="718"/>
      <c r="Z255" s="718"/>
      <c r="AA255" s="718"/>
      <c r="AB255" s="718"/>
      <c r="AC255" s="718"/>
      <c r="AD255" s="718"/>
      <c r="AE255" s="718"/>
      <c r="AF255" s="718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20"/>
      <c r="AV255" s="120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20"/>
      <c r="BS255" s="120"/>
      <c r="BT255" s="120"/>
      <c r="BU255" s="120"/>
      <c r="BV255" s="120"/>
      <c r="BW255" s="120"/>
      <c r="BX255" s="120"/>
      <c r="BY255" s="120"/>
      <c r="BZ255" s="120"/>
      <c r="CA255" s="120"/>
      <c r="CB255" s="120"/>
      <c r="CC255" s="120"/>
      <c r="CD255" s="120"/>
      <c r="CE255" s="120"/>
      <c r="CF255" s="120"/>
      <c r="CG255" s="120"/>
      <c r="CH255" s="120"/>
      <c r="CI255" s="120"/>
      <c r="CJ255" s="120"/>
      <c r="CK255" s="120"/>
      <c r="CL255" s="120"/>
      <c r="CM255" s="120"/>
      <c r="CN255" s="120"/>
      <c r="CO255" s="120"/>
      <c r="CP255" s="120"/>
      <c r="CQ255" s="120"/>
      <c r="CR255" s="120"/>
      <c r="CS255" s="120"/>
      <c r="CT255" s="120"/>
      <c r="CU255" s="120"/>
      <c r="CV255" s="120"/>
      <c r="CW255" s="120"/>
      <c r="CX255" s="120"/>
      <c r="CY255" s="120"/>
      <c r="CZ255" s="120"/>
      <c r="DA255" s="120"/>
      <c r="DB255" s="120"/>
      <c r="DC255" s="120"/>
      <c r="DD255" s="120"/>
      <c r="DE255" s="120"/>
      <c r="DF255" s="120"/>
      <c r="DG255" s="120"/>
      <c r="DH255" s="120"/>
      <c r="DI255" s="120"/>
      <c r="DJ255" s="120"/>
      <c r="DK255" s="120"/>
      <c r="DL255" s="120"/>
      <c r="DM255" s="120"/>
      <c r="DN255" s="120"/>
      <c r="DO255" s="120"/>
      <c r="DP255" s="120"/>
      <c r="DQ255" s="120"/>
      <c r="DR255" s="120"/>
      <c r="DS255" s="120"/>
      <c r="DT255" s="120"/>
      <c r="DU255" s="120"/>
      <c r="DV255" s="120"/>
      <c r="DW255" s="120"/>
      <c r="DX255" s="120"/>
      <c r="DY255" s="120"/>
      <c r="DZ255" s="120"/>
      <c r="EA255" s="120"/>
      <c r="EB255" s="120"/>
      <c r="EC255" s="120"/>
      <c r="ED255" s="120"/>
      <c r="EE255" s="120"/>
      <c r="EF255" s="120"/>
      <c r="EG255" s="120"/>
      <c r="EH255" s="120"/>
      <c r="EI255" s="120"/>
      <c r="EJ255" s="120"/>
      <c r="EK255" s="120"/>
      <c r="EL255" s="120"/>
      <c r="EM255" s="120"/>
      <c r="EN255" s="120"/>
      <c r="EO255" s="120"/>
      <c r="EP255" s="120"/>
      <c r="EQ255" s="120"/>
      <c r="ER255" s="120"/>
      <c r="ES255" s="120"/>
      <c r="ET255" s="120"/>
      <c r="EU255" s="120"/>
      <c r="EV255" s="120"/>
      <c r="EW255" s="120"/>
      <c r="EX255" s="120"/>
      <c r="EY255" s="120"/>
      <c r="EZ255" s="120"/>
      <c r="FA255" s="120"/>
      <c r="FB255" s="120"/>
      <c r="FC255" s="120"/>
      <c r="FD255" s="120"/>
      <c r="FE255" s="120"/>
      <c r="FF255" s="120"/>
      <c r="FG255" s="120"/>
      <c r="FH255" s="120"/>
      <c r="FI255" s="120"/>
      <c r="FJ255" s="120"/>
      <c r="FK255" s="120"/>
      <c r="FL255" s="120"/>
      <c r="FM255" s="120"/>
      <c r="FN255" s="120"/>
      <c r="FO255" s="120"/>
      <c r="FP255" s="120"/>
      <c r="FQ255" s="120"/>
      <c r="FR255" s="120"/>
      <c r="FS255" s="120"/>
      <c r="FT255" s="120"/>
      <c r="FU255" s="120"/>
      <c r="FV255" s="120"/>
      <c r="FW255" s="120"/>
      <c r="FX255" s="120"/>
      <c r="FY255" s="120"/>
      <c r="FZ255" s="120"/>
      <c r="GA255" s="120"/>
      <c r="GB255" s="120"/>
      <c r="GC255" s="120"/>
      <c r="GD255" s="120"/>
      <c r="GE255" s="120"/>
      <c r="GF255" s="120"/>
      <c r="GG255" s="120"/>
      <c r="GH255" s="120"/>
      <c r="GI255" s="120"/>
      <c r="GJ255" s="120"/>
      <c r="GK255" s="120"/>
      <c r="GL255" s="120"/>
      <c r="GM255" s="120"/>
      <c r="GN255" s="120"/>
      <c r="GO255" s="120"/>
      <c r="GP255" s="120"/>
      <c r="GQ255" s="120"/>
      <c r="GR255" s="120"/>
      <c r="GS255" s="120"/>
      <c r="GT255" s="120"/>
      <c r="GU255" s="120"/>
      <c r="GV255" s="120"/>
      <c r="GW255" s="120"/>
      <c r="GX255" s="120"/>
      <c r="GY255" s="120"/>
      <c r="GZ255" s="120"/>
      <c r="HA255" s="120"/>
      <c r="HB255" s="120"/>
      <c r="HC255" s="120"/>
      <c r="HD255" s="120"/>
      <c r="HE255" s="120"/>
      <c r="HF255" s="120"/>
      <c r="HG255" s="120"/>
      <c r="HH255" s="120"/>
      <c r="HI255" s="120"/>
      <c r="HJ255" s="120"/>
      <c r="HK255" s="120"/>
      <c r="HL255" s="120"/>
      <c r="HM255" s="120"/>
      <c r="HN255" s="120"/>
      <c r="HO255" s="120"/>
      <c r="HP255" s="120"/>
      <c r="HQ255" s="120"/>
      <c r="HR255" s="120"/>
      <c r="HS255" s="120"/>
      <c r="HT255" s="120"/>
      <c r="HU255" s="120"/>
      <c r="HV255" s="120"/>
      <c r="HW255" s="120"/>
      <c r="HX255" s="120"/>
      <c r="HY255" s="120"/>
      <c r="HZ255" s="120"/>
      <c r="IA255" s="120"/>
      <c r="IB255" s="120"/>
      <c r="IC255" s="120"/>
      <c r="ID255" s="120"/>
      <c r="IE255" s="120"/>
      <c r="IF255" s="120"/>
      <c r="IG255" s="120"/>
      <c r="IH255" s="120"/>
      <c r="II255" s="120"/>
      <c r="IJ255" s="120"/>
      <c r="IK255" s="120"/>
      <c r="IL255" s="120"/>
      <c r="IM255" s="120"/>
    </row>
    <row r="256" spans="1:247" ht="14.25" customHeight="1" x14ac:dyDescent="0.25">
      <c r="B256" s="827" t="s">
        <v>368</v>
      </c>
      <c r="C256" s="827"/>
      <c r="D256" s="827"/>
      <c r="E256" s="827"/>
      <c r="F256" s="827"/>
      <c r="G256" s="828"/>
      <c r="H256" s="717"/>
      <c r="I256" s="718"/>
      <c r="J256" s="718"/>
      <c r="K256" s="718"/>
      <c r="L256" s="718"/>
      <c r="M256" s="718"/>
      <c r="N256" s="718"/>
      <c r="O256" s="718"/>
      <c r="P256" s="718"/>
      <c r="Q256" s="718"/>
      <c r="R256" s="718"/>
      <c r="S256" s="718"/>
      <c r="T256" s="718"/>
      <c r="U256" s="718"/>
      <c r="V256" s="718"/>
      <c r="W256" s="718"/>
      <c r="X256" s="718"/>
      <c r="Y256" s="718"/>
      <c r="Z256" s="718"/>
      <c r="AA256" s="718"/>
      <c r="AB256" s="718"/>
      <c r="AC256" s="718"/>
      <c r="AD256" s="718"/>
      <c r="AE256" s="718"/>
      <c r="AF256" s="718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20"/>
      <c r="AV256" s="120"/>
      <c r="AW256" s="120"/>
      <c r="AX256" s="120"/>
      <c r="AY256" s="120"/>
      <c r="AZ256" s="120"/>
      <c r="BA256" s="120"/>
      <c r="BB256" s="120"/>
      <c r="BC256" s="120"/>
      <c r="BD256" s="120"/>
      <c r="BE256" s="120"/>
      <c r="BF256" s="120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20"/>
      <c r="BS256" s="120"/>
      <c r="BT256" s="120"/>
      <c r="BU256" s="120"/>
      <c r="BV256" s="120"/>
      <c r="BW256" s="120"/>
      <c r="BX256" s="120"/>
      <c r="BY256" s="120"/>
      <c r="BZ256" s="120"/>
      <c r="CA256" s="120"/>
      <c r="CB256" s="120"/>
      <c r="CC256" s="120"/>
      <c r="CD256" s="120"/>
      <c r="CE256" s="120"/>
      <c r="CF256" s="120"/>
      <c r="CG256" s="120"/>
      <c r="CH256" s="120"/>
      <c r="CI256" s="120"/>
      <c r="CJ256" s="120"/>
      <c r="CK256" s="120"/>
      <c r="CL256" s="120"/>
      <c r="CM256" s="120"/>
      <c r="CN256" s="120"/>
      <c r="CO256" s="120"/>
      <c r="CP256" s="120"/>
      <c r="CQ256" s="120"/>
      <c r="CR256" s="120"/>
      <c r="CS256" s="120"/>
      <c r="CT256" s="120"/>
      <c r="CU256" s="120"/>
      <c r="CV256" s="120"/>
      <c r="CW256" s="120"/>
      <c r="CX256" s="120"/>
      <c r="CY256" s="120"/>
      <c r="CZ256" s="120"/>
      <c r="DA256" s="120"/>
      <c r="DB256" s="120"/>
      <c r="DC256" s="120"/>
      <c r="DD256" s="120"/>
      <c r="DE256" s="120"/>
      <c r="DF256" s="120"/>
      <c r="DG256" s="120"/>
      <c r="DH256" s="120"/>
      <c r="DI256" s="120"/>
      <c r="DJ256" s="120"/>
      <c r="DK256" s="120"/>
      <c r="DL256" s="120"/>
      <c r="DM256" s="120"/>
      <c r="DN256" s="120"/>
      <c r="DO256" s="120"/>
      <c r="DP256" s="120"/>
      <c r="DQ256" s="120"/>
      <c r="DR256" s="120"/>
      <c r="DS256" s="120"/>
      <c r="DT256" s="120"/>
      <c r="DU256" s="120"/>
      <c r="DV256" s="120"/>
      <c r="DW256" s="120"/>
      <c r="DX256" s="120"/>
      <c r="DY256" s="120"/>
      <c r="DZ256" s="120"/>
      <c r="EA256" s="120"/>
      <c r="EB256" s="120"/>
      <c r="EC256" s="120"/>
      <c r="ED256" s="120"/>
      <c r="EE256" s="120"/>
      <c r="EF256" s="120"/>
      <c r="EG256" s="120"/>
      <c r="EH256" s="120"/>
      <c r="EI256" s="120"/>
      <c r="EJ256" s="120"/>
      <c r="EK256" s="120"/>
      <c r="EL256" s="120"/>
      <c r="EM256" s="120"/>
      <c r="EN256" s="120"/>
      <c r="EO256" s="120"/>
      <c r="EP256" s="120"/>
      <c r="EQ256" s="120"/>
      <c r="ER256" s="120"/>
      <c r="ES256" s="120"/>
      <c r="ET256" s="120"/>
      <c r="EU256" s="120"/>
      <c r="EV256" s="120"/>
      <c r="EW256" s="120"/>
      <c r="EX256" s="120"/>
      <c r="EY256" s="120"/>
      <c r="EZ256" s="120"/>
      <c r="FA256" s="120"/>
      <c r="FB256" s="120"/>
      <c r="FC256" s="120"/>
      <c r="FD256" s="120"/>
      <c r="FE256" s="120"/>
      <c r="FF256" s="120"/>
      <c r="FG256" s="120"/>
      <c r="FH256" s="120"/>
      <c r="FI256" s="120"/>
      <c r="FJ256" s="120"/>
      <c r="FK256" s="120"/>
      <c r="FL256" s="120"/>
      <c r="FM256" s="120"/>
      <c r="FN256" s="120"/>
      <c r="FO256" s="120"/>
      <c r="FP256" s="120"/>
      <c r="FQ256" s="120"/>
      <c r="FR256" s="120"/>
      <c r="FS256" s="120"/>
      <c r="FT256" s="120"/>
      <c r="FU256" s="120"/>
      <c r="FV256" s="120"/>
      <c r="FW256" s="120"/>
      <c r="FX256" s="120"/>
      <c r="FY256" s="120"/>
      <c r="FZ256" s="120"/>
      <c r="GA256" s="120"/>
      <c r="GB256" s="120"/>
      <c r="GC256" s="120"/>
      <c r="GD256" s="120"/>
      <c r="GE256" s="120"/>
      <c r="GF256" s="120"/>
      <c r="GG256" s="120"/>
      <c r="GH256" s="120"/>
      <c r="GI256" s="120"/>
      <c r="GJ256" s="120"/>
      <c r="GK256" s="120"/>
      <c r="GL256" s="120"/>
      <c r="GM256" s="120"/>
      <c r="GN256" s="120"/>
      <c r="GO256" s="120"/>
      <c r="GP256" s="120"/>
      <c r="GQ256" s="120"/>
      <c r="GR256" s="120"/>
      <c r="GS256" s="120"/>
      <c r="GT256" s="120"/>
      <c r="GU256" s="120"/>
      <c r="GV256" s="120"/>
      <c r="GW256" s="120"/>
      <c r="GX256" s="120"/>
      <c r="GY256" s="120"/>
      <c r="GZ256" s="120"/>
      <c r="HA256" s="120"/>
      <c r="HB256" s="120"/>
      <c r="HC256" s="120"/>
      <c r="HD256" s="120"/>
      <c r="HE256" s="120"/>
      <c r="HF256" s="120"/>
      <c r="HG256" s="120"/>
      <c r="HH256" s="120"/>
      <c r="HI256" s="120"/>
      <c r="HJ256" s="120"/>
      <c r="HK256" s="120"/>
      <c r="HL256" s="120"/>
      <c r="HM256" s="120"/>
      <c r="HN256" s="120"/>
      <c r="HO256" s="120"/>
      <c r="HP256" s="120"/>
      <c r="HQ256" s="120"/>
      <c r="HR256" s="120"/>
      <c r="HS256" s="120"/>
      <c r="HT256" s="120"/>
      <c r="HU256" s="120"/>
      <c r="HV256" s="120"/>
      <c r="HW256" s="120"/>
      <c r="HX256" s="120"/>
      <c r="HY256" s="120"/>
      <c r="HZ256" s="120"/>
      <c r="IA256" s="120"/>
      <c r="IB256" s="120"/>
      <c r="IC256" s="120"/>
      <c r="ID256" s="120"/>
      <c r="IE256" s="120"/>
      <c r="IF256" s="120"/>
      <c r="IG256" s="120"/>
      <c r="IH256" s="120"/>
      <c r="II256" s="120"/>
      <c r="IJ256" s="120"/>
      <c r="IK256" s="120"/>
      <c r="IL256" s="120"/>
      <c r="IM256" s="120"/>
    </row>
    <row r="257" spans="1:247" ht="30.75" customHeight="1" x14ac:dyDescent="0.25">
      <c r="B257" s="124" t="s">
        <v>173</v>
      </c>
      <c r="C257" s="119" t="s">
        <v>85</v>
      </c>
      <c r="D257" s="122">
        <v>10</v>
      </c>
      <c r="E257" s="123">
        <v>10</v>
      </c>
      <c r="F257" s="75">
        <f>SUM(E257/D257*100)</f>
        <v>100</v>
      </c>
      <c r="G257" s="702"/>
      <c r="H257" s="717"/>
      <c r="I257" s="718"/>
      <c r="J257" s="718"/>
      <c r="K257" s="718"/>
      <c r="L257" s="718"/>
      <c r="M257" s="718"/>
      <c r="N257" s="718"/>
      <c r="O257" s="718"/>
      <c r="P257" s="718"/>
      <c r="Q257" s="718"/>
      <c r="R257" s="718"/>
      <c r="S257" s="718"/>
      <c r="T257" s="718"/>
      <c r="U257" s="718"/>
      <c r="V257" s="718"/>
      <c r="W257" s="718"/>
      <c r="X257" s="718"/>
      <c r="Y257" s="718"/>
      <c r="Z257" s="718"/>
      <c r="AA257" s="718"/>
      <c r="AB257" s="718"/>
      <c r="AC257" s="718"/>
      <c r="AD257" s="718"/>
      <c r="AE257" s="718"/>
      <c r="AF257" s="718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20"/>
      <c r="AV257" s="120"/>
      <c r="AW257" s="120"/>
      <c r="AX257" s="120"/>
      <c r="AY257" s="120"/>
      <c r="AZ257" s="120"/>
      <c r="BA257" s="120"/>
      <c r="BB257" s="120"/>
      <c r="BC257" s="120"/>
      <c r="BD257" s="120"/>
      <c r="BE257" s="120"/>
      <c r="BF257" s="120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20"/>
      <c r="BS257" s="120"/>
      <c r="BT257" s="120"/>
      <c r="BU257" s="120"/>
      <c r="BV257" s="120"/>
      <c r="BW257" s="120"/>
      <c r="BX257" s="120"/>
      <c r="BY257" s="120"/>
      <c r="BZ257" s="120"/>
      <c r="CA257" s="120"/>
      <c r="CB257" s="120"/>
      <c r="CC257" s="120"/>
      <c r="CD257" s="120"/>
      <c r="CE257" s="120"/>
      <c r="CF257" s="120"/>
      <c r="CG257" s="120"/>
      <c r="CH257" s="120"/>
      <c r="CI257" s="120"/>
      <c r="CJ257" s="120"/>
      <c r="CK257" s="120"/>
      <c r="CL257" s="120"/>
      <c r="CM257" s="120"/>
      <c r="CN257" s="120"/>
      <c r="CO257" s="120"/>
      <c r="CP257" s="120"/>
      <c r="CQ257" s="120"/>
      <c r="CR257" s="120"/>
      <c r="CS257" s="120"/>
      <c r="CT257" s="120"/>
      <c r="CU257" s="120"/>
      <c r="CV257" s="120"/>
      <c r="CW257" s="120"/>
      <c r="CX257" s="120"/>
      <c r="CY257" s="120"/>
      <c r="CZ257" s="120"/>
      <c r="DA257" s="120"/>
      <c r="DB257" s="120"/>
      <c r="DC257" s="120"/>
      <c r="DD257" s="120"/>
      <c r="DE257" s="120"/>
      <c r="DF257" s="120"/>
      <c r="DG257" s="120"/>
      <c r="DH257" s="120"/>
      <c r="DI257" s="120"/>
      <c r="DJ257" s="120"/>
      <c r="DK257" s="120"/>
      <c r="DL257" s="120"/>
      <c r="DM257" s="120"/>
      <c r="DN257" s="120"/>
      <c r="DO257" s="120"/>
      <c r="DP257" s="120"/>
      <c r="DQ257" s="120"/>
      <c r="DR257" s="120"/>
      <c r="DS257" s="120"/>
      <c r="DT257" s="120"/>
      <c r="DU257" s="120"/>
      <c r="DV257" s="120"/>
      <c r="DW257" s="120"/>
      <c r="DX257" s="120"/>
      <c r="DY257" s="120"/>
      <c r="DZ257" s="120"/>
      <c r="EA257" s="120"/>
      <c r="EB257" s="120"/>
      <c r="EC257" s="120"/>
      <c r="ED257" s="120"/>
      <c r="EE257" s="120"/>
      <c r="EF257" s="120"/>
      <c r="EG257" s="120"/>
      <c r="EH257" s="120"/>
      <c r="EI257" s="120"/>
      <c r="EJ257" s="120"/>
      <c r="EK257" s="120"/>
      <c r="EL257" s="120"/>
      <c r="EM257" s="120"/>
      <c r="EN257" s="120"/>
      <c r="EO257" s="120"/>
      <c r="EP257" s="120"/>
      <c r="EQ257" s="120"/>
      <c r="ER257" s="120"/>
      <c r="ES257" s="120"/>
      <c r="ET257" s="120"/>
      <c r="EU257" s="120"/>
      <c r="EV257" s="120"/>
      <c r="EW257" s="120"/>
      <c r="EX257" s="120"/>
      <c r="EY257" s="120"/>
      <c r="EZ257" s="120"/>
      <c r="FA257" s="120"/>
      <c r="FB257" s="120"/>
      <c r="FC257" s="120"/>
      <c r="FD257" s="120"/>
      <c r="FE257" s="120"/>
      <c r="FF257" s="120"/>
      <c r="FG257" s="120"/>
      <c r="FH257" s="120"/>
      <c r="FI257" s="120"/>
      <c r="FJ257" s="120"/>
      <c r="FK257" s="120"/>
      <c r="FL257" s="120"/>
      <c r="FM257" s="120"/>
      <c r="FN257" s="120"/>
      <c r="FO257" s="120"/>
      <c r="FP257" s="120"/>
      <c r="FQ257" s="120"/>
      <c r="FR257" s="120"/>
      <c r="FS257" s="120"/>
      <c r="FT257" s="120"/>
      <c r="FU257" s="120"/>
      <c r="FV257" s="120"/>
      <c r="FW257" s="120"/>
      <c r="FX257" s="120"/>
      <c r="FY257" s="120"/>
      <c r="FZ257" s="120"/>
      <c r="GA257" s="120"/>
      <c r="GB257" s="120"/>
      <c r="GC257" s="120"/>
      <c r="GD257" s="120"/>
      <c r="GE257" s="120"/>
      <c r="GF257" s="120"/>
      <c r="GG257" s="120"/>
      <c r="GH257" s="120"/>
      <c r="GI257" s="120"/>
      <c r="GJ257" s="120"/>
      <c r="GK257" s="120"/>
      <c r="GL257" s="120"/>
      <c r="GM257" s="120"/>
      <c r="GN257" s="120"/>
      <c r="GO257" s="120"/>
      <c r="GP257" s="120"/>
      <c r="GQ257" s="120"/>
      <c r="GR257" s="120"/>
      <c r="GS257" s="120"/>
      <c r="GT257" s="120"/>
      <c r="GU257" s="120"/>
      <c r="GV257" s="120"/>
      <c r="GW257" s="120"/>
      <c r="GX257" s="120"/>
      <c r="GY257" s="120"/>
      <c r="GZ257" s="120"/>
      <c r="HA257" s="120"/>
      <c r="HB257" s="120"/>
      <c r="HC257" s="120"/>
      <c r="HD257" s="120"/>
      <c r="HE257" s="120"/>
      <c r="HF257" s="120"/>
      <c r="HG257" s="120"/>
      <c r="HH257" s="120"/>
      <c r="HI257" s="120"/>
      <c r="HJ257" s="120"/>
      <c r="HK257" s="120"/>
      <c r="HL257" s="120"/>
      <c r="HM257" s="120"/>
      <c r="HN257" s="120"/>
      <c r="HO257" s="120"/>
      <c r="HP257" s="120"/>
      <c r="HQ257" s="120"/>
      <c r="HR257" s="120"/>
      <c r="HS257" s="120"/>
      <c r="HT257" s="120"/>
      <c r="HU257" s="120"/>
      <c r="HV257" s="120"/>
      <c r="HW257" s="120"/>
      <c r="HX257" s="120"/>
      <c r="HY257" s="120"/>
      <c r="HZ257" s="120"/>
      <c r="IA257" s="120"/>
      <c r="IB257" s="120"/>
      <c r="IC257" s="120"/>
      <c r="ID257" s="120"/>
      <c r="IE257" s="120"/>
      <c r="IF257" s="120"/>
      <c r="IG257" s="120"/>
      <c r="IH257" s="120"/>
      <c r="II257" s="120"/>
      <c r="IJ257" s="120"/>
      <c r="IK257" s="120"/>
      <c r="IL257" s="120"/>
      <c r="IM257" s="120"/>
    </row>
    <row r="258" spans="1:247" ht="14.25" customHeight="1" x14ac:dyDescent="0.25">
      <c r="B258" s="827" t="s">
        <v>369</v>
      </c>
      <c r="C258" s="827"/>
      <c r="D258" s="827"/>
      <c r="E258" s="827"/>
      <c r="F258" s="827"/>
      <c r="G258" s="828"/>
      <c r="H258" s="717"/>
      <c r="I258" s="718"/>
      <c r="J258" s="718"/>
      <c r="K258" s="718"/>
      <c r="L258" s="718"/>
      <c r="M258" s="718"/>
      <c r="N258" s="718"/>
      <c r="O258" s="718"/>
      <c r="P258" s="718"/>
      <c r="Q258" s="718"/>
      <c r="R258" s="718"/>
      <c r="S258" s="718"/>
      <c r="T258" s="718"/>
      <c r="U258" s="718"/>
      <c r="V258" s="718"/>
      <c r="W258" s="718"/>
      <c r="X258" s="718"/>
      <c r="Y258" s="718"/>
      <c r="Z258" s="718"/>
      <c r="AA258" s="718"/>
      <c r="AB258" s="718"/>
      <c r="AC258" s="718"/>
      <c r="AD258" s="718"/>
      <c r="AE258" s="718"/>
      <c r="AF258" s="718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20"/>
      <c r="AV258" s="120"/>
      <c r="AW258" s="120"/>
      <c r="AX258" s="120"/>
      <c r="AY258" s="120"/>
      <c r="AZ258" s="120"/>
      <c r="BA258" s="120"/>
      <c r="BB258" s="120"/>
      <c r="BC258" s="120"/>
      <c r="BD258" s="120"/>
      <c r="BE258" s="120"/>
      <c r="BF258" s="120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20"/>
      <c r="BS258" s="120"/>
      <c r="BT258" s="120"/>
      <c r="BU258" s="120"/>
      <c r="BV258" s="120"/>
      <c r="BW258" s="120"/>
      <c r="BX258" s="120"/>
      <c r="BY258" s="120"/>
      <c r="BZ258" s="120"/>
      <c r="CA258" s="120"/>
      <c r="CB258" s="120"/>
      <c r="CC258" s="120"/>
      <c r="CD258" s="120"/>
      <c r="CE258" s="120"/>
      <c r="CF258" s="120"/>
      <c r="CG258" s="120"/>
      <c r="CH258" s="120"/>
      <c r="CI258" s="120"/>
      <c r="CJ258" s="120"/>
      <c r="CK258" s="120"/>
      <c r="CL258" s="120"/>
      <c r="CM258" s="120"/>
      <c r="CN258" s="120"/>
      <c r="CO258" s="120"/>
      <c r="CP258" s="120"/>
      <c r="CQ258" s="120"/>
      <c r="CR258" s="120"/>
      <c r="CS258" s="120"/>
      <c r="CT258" s="120"/>
      <c r="CU258" s="120"/>
      <c r="CV258" s="120"/>
      <c r="CW258" s="120"/>
      <c r="CX258" s="120"/>
      <c r="CY258" s="120"/>
      <c r="CZ258" s="120"/>
      <c r="DA258" s="120"/>
      <c r="DB258" s="120"/>
      <c r="DC258" s="120"/>
      <c r="DD258" s="120"/>
      <c r="DE258" s="120"/>
      <c r="DF258" s="120"/>
      <c r="DG258" s="120"/>
      <c r="DH258" s="120"/>
      <c r="DI258" s="120"/>
      <c r="DJ258" s="120"/>
      <c r="DK258" s="120"/>
      <c r="DL258" s="120"/>
      <c r="DM258" s="120"/>
      <c r="DN258" s="120"/>
      <c r="DO258" s="120"/>
      <c r="DP258" s="120"/>
      <c r="DQ258" s="120"/>
      <c r="DR258" s="120"/>
      <c r="DS258" s="120"/>
      <c r="DT258" s="120"/>
      <c r="DU258" s="120"/>
      <c r="DV258" s="120"/>
      <c r="DW258" s="120"/>
      <c r="DX258" s="120"/>
      <c r="DY258" s="120"/>
      <c r="DZ258" s="120"/>
      <c r="EA258" s="120"/>
      <c r="EB258" s="120"/>
      <c r="EC258" s="120"/>
      <c r="ED258" s="120"/>
      <c r="EE258" s="120"/>
      <c r="EF258" s="120"/>
      <c r="EG258" s="120"/>
      <c r="EH258" s="120"/>
      <c r="EI258" s="120"/>
      <c r="EJ258" s="120"/>
      <c r="EK258" s="120"/>
      <c r="EL258" s="120"/>
      <c r="EM258" s="120"/>
      <c r="EN258" s="120"/>
      <c r="EO258" s="120"/>
      <c r="EP258" s="120"/>
      <c r="EQ258" s="120"/>
      <c r="ER258" s="120"/>
      <c r="ES258" s="120"/>
      <c r="ET258" s="120"/>
      <c r="EU258" s="120"/>
      <c r="EV258" s="120"/>
      <c r="EW258" s="120"/>
      <c r="EX258" s="120"/>
      <c r="EY258" s="120"/>
      <c r="EZ258" s="120"/>
      <c r="FA258" s="120"/>
      <c r="FB258" s="120"/>
      <c r="FC258" s="120"/>
      <c r="FD258" s="120"/>
      <c r="FE258" s="120"/>
      <c r="FF258" s="120"/>
      <c r="FG258" s="120"/>
      <c r="FH258" s="120"/>
      <c r="FI258" s="120"/>
      <c r="FJ258" s="120"/>
      <c r="FK258" s="120"/>
      <c r="FL258" s="120"/>
      <c r="FM258" s="120"/>
      <c r="FN258" s="120"/>
      <c r="FO258" s="120"/>
      <c r="FP258" s="120"/>
      <c r="FQ258" s="120"/>
      <c r="FR258" s="120"/>
      <c r="FS258" s="120"/>
      <c r="FT258" s="120"/>
      <c r="FU258" s="120"/>
      <c r="FV258" s="120"/>
      <c r="FW258" s="120"/>
      <c r="FX258" s="120"/>
      <c r="FY258" s="120"/>
      <c r="FZ258" s="120"/>
      <c r="GA258" s="120"/>
      <c r="GB258" s="120"/>
      <c r="GC258" s="120"/>
      <c r="GD258" s="120"/>
      <c r="GE258" s="120"/>
      <c r="GF258" s="120"/>
      <c r="GG258" s="120"/>
      <c r="GH258" s="120"/>
      <c r="GI258" s="120"/>
      <c r="GJ258" s="120"/>
      <c r="GK258" s="120"/>
      <c r="GL258" s="120"/>
      <c r="GM258" s="120"/>
      <c r="GN258" s="120"/>
      <c r="GO258" s="120"/>
      <c r="GP258" s="120"/>
      <c r="GQ258" s="120"/>
      <c r="GR258" s="120"/>
      <c r="GS258" s="120"/>
      <c r="GT258" s="120"/>
      <c r="GU258" s="120"/>
      <c r="GV258" s="120"/>
      <c r="GW258" s="120"/>
      <c r="GX258" s="120"/>
      <c r="GY258" s="120"/>
      <c r="GZ258" s="120"/>
      <c r="HA258" s="120"/>
      <c r="HB258" s="120"/>
      <c r="HC258" s="120"/>
      <c r="HD258" s="120"/>
      <c r="HE258" s="120"/>
      <c r="HF258" s="120"/>
      <c r="HG258" s="120"/>
      <c r="HH258" s="120"/>
      <c r="HI258" s="120"/>
      <c r="HJ258" s="120"/>
      <c r="HK258" s="120"/>
      <c r="HL258" s="120"/>
      <c r="HM258" s="120"/>
      <c r="HN258" s="120"/>
      <c r="HO258" s="120"/>
      <c r="HP258" s="120"/>
      <c r="HQ258" s="120"/>
      <c r="HR258" s="120"/>
      <c r="HS258" s="120"/>
      <c r="HT258" s="120"/>
      <c r="HU258" s="120"/>
      <c r="HV258" s="120"/>
      <c r="HW258" s="120"/>
      <c r="HX258" s="120"/>
      <c r="HY258" s="120"/>
      <c r="HZ258" s="120"/>
      <c r="IA258" s="120"/>
      <c r="IB258" s="120"/>
      <c r="IC258" s="120"/>
      <c r="ID258" s="120"/>
      <c r="IE258" s="120"/>
      <c r="IF258" s="120"/>
      <c r="IG258" s="120"/>
      <c r="IH258" s="120"/>
      <c r="II258" s="120"/>
      <c r="IJ258" s="120"/>
      <c r="IK258" s="120"/>
      <c r="IL258" s="120"/>
      <c r="IM258" s="120"/>
    </row>
    <row r="259" spans="1:247" ht="50.25" customHeight="1" x14ac:dyDescent="0.25">
      <c r="B259" s="121" t="s">
        <v>370</v>
      </c>
      <c r="C259" s="119" t="s">
        <v>52</v>
      </c>
      <c r="D259" s="122">
        <v>19</v>
      </c>
      <c r="E259" s="50">
        <v>19</v>
      </c>
      <c r="F259" s="75">
        <f>SUM(E259/D259*100)</f>
        <v>100</v>
      </c>
      <c r="G259" s="702"/>
      <c r="H259" s="717"/>
      <c r="I259" s="718"/>
      <c r="J259" s="718"/>
      <c r="K259" s="718"/>
      <c r="L259" s="718"/>
      <c r="M259" s="718"/>
      <c r="N259" s="718"/>
      <c r="O259" s="718"/>
      <c r="P259" s="718"/>
      <c r="Q259" s="718"/>
      <c r="R259" s="718"/>
      <c r="S259" s="718"/>
      <c r="T259" s="718"/>
      <c r="U259" s="718"/>
      <c r="V259" s="718"/>
      <c r="W259" s="718"/>
      <c r="X259" s="718"/>
      <c r="Y259" s="718"/>
      <c r="Z259" s="718"/>
      <c r="AA259" s="718"/>
      <c r="AB259" s="718"/>
      <c r="AC259" s="718"/>
      <c r="AD259" s="718"/>
      <c r="AE259" s="718"/>
      <c r="AF259" s="718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20"/>
      <c r="AV259" s="120"/>
      <c r="AW259" s="120"/>
      <c r="AX259" s="120"/>
      <c r="AY259" s="120"/>
      <c r="AZ259" s="120"/>
      <c r="BA259" s="120"/>
      <c r="BB259" s="120"/>
      <c r="BC259" s="120"/>
      <c r="BD259" s="120"/>
      <c r="BE259" s="120"/>
      <c r="BF259" s="120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20"/>
      <c r="BS259" s="120"/>
      <c r="BT259" s="120"/>
      <c r="BU259" s="120"/>
      <c r="BV259" s="120"/>
      <c r="BW259" s="120"/>
      <c r="BX259" s="120"/>
      <c r="BY259" s="120"/>
      <c r="BZ259" s="120"/>
      <c r="CA259" s="120"/>
      <c r="CB259" s="120"/>
      <c r="CC259" s="120"/>
      <c r="CD259" s="120"/>
      <c r="CE259" s="120"/>
      <c r="CF259" s="120"/>
      <c r="CG259" s="120"/>
      <c r="CH259" s="120"/>
      <c r="CI259" s="120"/>
      <c r="CJ259" s="120"/>
      <c r="CK259" s="120"/>
      <c r="CL259" s="120"/>
      <c r="CM259" s="120"/>
      <c r="CN259" s="120"/>
      <c r="CO259" s="120"/>
      <c r="CP259" s="120"/>
      <c r="CQ259" s="120"/>
      <c r="CR259" s="120"/>
      <c r="CS259" s="120"/>
      <c r="CT259" s="120"/>
      <c r="CU259" s="120"/>
      <c r="CV259" s="120"/>
      <c r="CW259" s="120"/>
      <c r="CX259" s="120"/>
      <c r="CY259" s="120"/>
      <c r="CZ259" s="120"/>
      <c r="DA259" s="120"/>
      <c r="DB259" s="120"/>
      <c r="DC259" s="120"/>
      <c r="DD259" s="120"/>
      <c r="DE259" s="120"/>
      <c r="DF259" s="120"/>
      <c r="DG259" s="120"/>
      <c r="DH259" s="120"/>
      <c r="DI259" s="120"/>
      <c r="DJ259" s="120"/>
      <c r="DK259" s="120"/>
      <c r="DL259" s="120"/>
      <c r="DM259" s="120"/>
      <c r="DN259" s="120"/>
      <c r="DO259" s="120"/>
      <c r="DP259" s="120"/>
      <c r="DQ259" s="120"/>
      <c r="DR259" s="120"/>
      <c r="DS259" s="120"/>
      <c r="DT259" s="120"/>
      <c r="DU259" s="120"/>
      <c r="DV259" s="120"/>
      <c r="DW259" s="120"/>
      <c r="DX259" s="120"/>
      <c r="DY259" s="120"/>
      <c r="DZ259" s="120"/>
      <c r="EA259" s="120"/>
      <c r="EB259" s="120"/>
      <c r="EC259" s="120"/>
      <c r="ED259" s="120"/>
      <c r="EE259" s="120"/>
      <c r="EF259" s="120"/>
      <c r="EG259" s="120"/>
      <c r="EH259" s="120"/>
      <c r="EI259" s="120"/>
      <c r="EJ259" s="120"/>
      <c r="EK259" s="120"/>
      <c r="EL259" s="120"/>
      <c r="EM259" s="120"/>
      <c r="EN259" s="120"/>
      <c r="EO259" s="120"/>
      <c r="EP259" s="120"/>
      <c r="EQ259" s="120"/>
      <c r="ER259" s="120"/>
      <c r="ES259" s="120"/>
      <c r="ET259" s="120"/>
      <c r="EU259" s="120"/>
      <c r="EV259" s="120"/>
      <c r="EW259" s="120"/>
      <c r="EX259" s="120"/>
      <c r="EY259" s="120"/>
      <c r="EZ259" s="120"/>
      <c r="FA259" s="120"/>
      <c r="FB259" s="120"/>
      <c r="FC259" s="120"/>
      <c r="FD259" s="120"/>
      <c r="FE259" s="120"/>
      <c r="FF259" s="120"/>
      <c r="FG259" s="120"/>
      <c r="FH259" s="120"/>
      <c r="FI259" s="120"/>
      <c r="FJ259" s="120"/>
      <c r="FK259" s="120"/>
      <c r="FL259" s="120"/>
      <c r="FM259" s="120"/>
      <c r="FN259" s="120"/>
      <c r="FO259" s="120"/>
      <c r="FP259" s="120"/>
      <c r="FQ259" s="120"/>
      <c r="FR259" s="120"/>
      <c r="FS259" s="120"/>
      <c r="FT259" s="120"/>
      <c r="FU259" s="120"/>
      <c r="FV259" s="120"/>
      <c r="FW259" s="120"/>
      <c r="FX259" s="120"/>
      <c r="FY259" s="120"/>
      <c r="FZ259" s="120"/>
      <c r="GA259" s="120"/>
      <c r="GB259" s="120"/>
      <c r="GC259" s="120"/>
      <c r="GD259" s="120"/>
      <c r="GE259" s="120"/>
      <c r="GF259" s="120"/>
      <c r="GG259" s="120"/>
      <c r="GH259" s="120"/>
      <c r="GI259" s="120"/>
      <c r="GJ259" s="120"/>
      <c r="GK259" s="120"/>
      <c r="GL259" s="120"/>
      <c r="GM259" s="120"/>
      <c r="GN259" s="120"/>
      <c r="GO259" s="120"/>
      <c r="GP259" s="120"/>
      <c r="GQ259" s="120"/>
      <c r="GR259" s="120"/>
      <c r="GS259" s="120"/>
      <c r="GT259" s="120"/>
      <c r="GU259" s="120"/>
      <c r="GV259" s="120"/>
      <c r="GW259" s="120"/>
      <c r="GX259" s="120"/>
      <c r="GY259" s="120"/>
      <c r="GZ259" s="120"/>
      <c r="HA259" s="120"/>
      <c r="HB259" s="120"/>
      <c r="HC259" s="120"/>
      <c r="HD259" s="120"/>
      <c r="HE259" s="120"/>
      <c r="HF259" s="120"/>
      <c r="HG259" s="120"/>
      <c r="HH259" s="120"/>
      <c r="HI259" s="120"/>
      <c r="HJ259" s="120"/>
      <c r="HK259" s="120"/>
      <c r="HL259" s="120"/>
      <c r="HM259" s="120"/>
      <c r="HN259" s="120"/>
      <c r="HO259" s="120"/>
      <c r="HP259" s="120"/>
      <c r="HQ259" s="120"/>
      <c r="HR259" s="120"/>
      <c r="HS259" s="120"/>
      <c r="HT259" s="120"/>
      <c r="HU259" s="120"/>
      <c r="HV259" s="120"/>
      <c r="HW259" s="120"/>
      <c r="HX259" s="120"/>
      <c r="HY259" s="120"/>
      <c r="HZ259" s="120"/>
      <c r="IA259" s="120"/>
      <c r="IB259" s="120"/>
      <c r="IC259" s="120"/>
      <c r="ID259" s="120"/>
      <c r="IE259" s="120"/>
      <c r="IF259" s="120"/>
      <c r="IG259" s="120"/>
      <c r="IH259" s="120"/>
      <c r="II259" s="120"/>
      <c r="IJ259" s="120"/>
      <c r="IK259" s="120"/>
      <c r="IL259" s="120"/>
      <c r="IM259" s="120"/>
    </row>
    <row r="260" spans="1:247" ht="14.25" customHeight="1" x14ac:dyDescent="0.25">
      <c r="B260" s="827" t="s">
        <v>371</v>
      </c>
      <c r="C260" s="827"/>
      <c r="D260" s="827"/>
      <c r="E260" s="827"/>
      <c r="F260" s="827"/>
      <c r="G260" s="828"/>
      <c r="H260" s="717"/>
      <c r="I260" s="718"/>
      <c r="J260" s="718"/>
      <c r="K260" s="718"/>
      <c r="L260" s="718"/>
      <c r="M260" s="718"/>
      <c r="N260" s="718"/>
      <c r="O260" s="718"/>
      <c r="P260" s="718"/>
      <c r="Q260" s="718"/>
      <c r="R260" s="718"/>
      <c r="S260" s="718"/>
      <c r="T260" s="718"/>
      <c r="U260" s="718"/>
      <c r="V260" s="718"/>
      <c r="W260" s="718"/>
      <c r="X260" s="718"/>
      <c r="Y260" s="718"/>
      <c r="Z260" s="718"/>
      <c r="AA260" s="718"/>
      <c r="AB260" s="718"/>
      <c r="AC260" s="718"/>
      <c r="AD260" s="718"/>
      <c r="AE260" s="718"/>
      <c r="AF260" s="718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20"/>
      <c r="AV260" s="120"/>
      <c r="AW260" s="120"/>
      <c r="AX260" s="120"/>
      <c r="AY260" s="120"/>
      <c r="AZ260" s="120"/>
      <c r="BA260" s="120"/>
      <c r="BB260" s="120"/>
      <c r="BC260" s="120"/>
      <c r="BD260" s="120"/>
      <c r="BE260" s="120"/>
      <c r="BF260" s="120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20"/>
      <c r="BS260" s="120"/>
      <c r="BT260" s="120"/>
      <c r="BU260" s="120"/>
      <c r="BV260" s="120"/>
      <c r="BW260" s="120"/>
      <c r="BX260" s="120"/>
      <c r="BY260" s="120"/>
      <c r="BZ260" s="120"/>
      <c r="CA260" s="120"/>
      <c r="CB260" s="120"/>
      <c r="CC260" s="120"/>
      <c r="CD260" s="120"/>
      <c r="CE260" s="120"/>
      <c r="CF260" s="120"/>
      <c r="CG260" s="120"/>
      <c r="CH260" s="120"/>
      <c r="CI260" s="120"/>
      <c r="CJ260" s="120"/>
      <c r="CK260" s="120"/>
      <c r="CL260" s="120"/>
      <c r="CM260" s="120"/>
      <c r="CN260" s="120"/>
      <c r="CO260" s="120"/>
      <c r="CP260" s="120"/>
      <c r="CQ260" s="120"/>
      <c r="CR260" s="120"/>
      <c r="CS260" s="120"/>
      <c r="CT260" s="120"/>
      <c r="CU260" s="120"/>
      <c r="CV260" s="120"/>
      <c r="CW260" s="120"/>
      <c r="CX260" s="120"/>
      <c r="CY260" s="120"/>
      <c r="CZ260" s="120"/>
      <c r="DA260" s="120"/>
      <c r="DB260" s="120"/>
      <c r="DC260" s="120"/>
      <c r="DD260" s="120"/>
      <c r="DE260" s="120"/>
      <c r="DF260" s="120"/>
      <c r="DG260" s="120"/>
      <c r="DH260" s="120"/>
      <c r="DI260" s="120"/>
      <c r="DJ260" s="120"/>
      <c r="DK260" s="120"/>
      <c r="DL260" s="120"/>
      <c r="DM260" s="120"/>
      <c r="DN260" s="120"/>
      <c r="DO260" s="120"/>
      <c r="DP260" s="120"/>
      <c r="DQ260" s="120"/>
      <c r="DR260" s="120"/>
      <c r="DS260" s="120"/>
      <c r="DT260" s="120"/>
      <c r="DU260" s="120"/>
      <c r="DV260" s="120"/>
      <c r="DW260" s="120"/>
      <c r="DX260" s="120"/>
      <c r="DY260" s="120"/>
      <c r="DZ260" s="120"/>
      <c r="EA260" s="120"/>
      <c r="EB260" s="120"/>
      <c r="EC260" s="120"/>
      <c r="ED260" s="120"/>
      <c r="EE260" s="120"/>
      <c r="EF260" s="120"/>
      <c r="EG260" s="120"/>
      <c r="EH260" s="120"/>
      <c r="EI260" s="120"/>
      <c r="EJ260" s="120"/>
      <c r="EK260" s="120"/>
      <c r="EL260" s="120"/>
      <c r="EM260" s="120"/>
      <c r="EN260" s="120"/>
      <c r="EO260" s="120"/>
      <c r="EP260" s="120"/>
      <c r="EQ260" s="120"/>
      <c r="ER260" s="120"/>
      <c r="ES260" s="120"/>
      <c r="ET260" s="120"/>
      <c r="EU260" s="120"/>
      <c r="EV260" s="120"/>
      <c r="EW260" s="120"/>
      <c r="EX260" s="120"/>
      <c r="EY260" s="120"/>
      <c r="EZ260" s="120"/>
      <c r="FA260" s="120"/>
      <c r="FB260" s="120"/>
      <c r="FC260" s="120"/>
      <c r="FD260" s="120"/>
      <c r="FE260" s="120"/>
      <c r="FF260" s="120"/>
      <c r="FG260" s="120"/>
      <c r="FH260" s="120"/>
      <c r="FI260" s="120"/>
      <c r="FJ260" s="120"/>
      <c r="FK260" s="120"/>
      <c r="FL260" s="120"/>
      <c r="FM260" s="120"/>
      <c r="FN260" s="120"/>
      <c r="FO260" s="120"/>
      <c r="FP260" s="120"/>
      <c r="FQ260" s="120"/>
      <c r="FR260" s="120"/>
      <c r="FS260" s="120"/>
      <c r="FT260" s="120"/>
      <c r="FU260" s="120"/>
      <c r="FV260" s="120"/>
      <c r="FW260" s="120"/>
      <c r="FX260" s="120"/>
      <c r="FY260" s="120"/>
      <c r="FZ260" s="120"/>
      <c r="GA260" s="120"/>
      <c r="GB260" s="120"/>
      <c r="GC260" s="120"/>
      <c r="GD260" s="120"/>
      <c r="GE260" s="120"/>
      <c r="GF260" s="120"/>
      <c r="GG260" s="120"/>
      <c r="GH260" s="120"/>
      <c r="GI260" s="120"/>
      <c r="GJ260" s="120"/>
      <c r="GK260" s="120"/>
      <c r="GL260" s="120"/>
      <c r="GM260" s="120"/>
      <c r="GN260" s="120"/>
      <c r="GO260" s="120"/>
      <c r="GP260" s="120"/>
      <c r="GQ260" s="120"/>
      <c r="GR260" s="120"/>
      <c r="GS260" s="120"/>
      <c r="GT260" s="120"/>
      <c r="GU260" s="120"/>
      <c r="GV260" s="120"/>
      <c r="GW260" s="120"/>
      <c r="GX260" s="120"/>
      <c r="GY260" s="120"/>
      <c r="GZ260" s="120"/>
      <c r="HA260" s="120"/>
      <c r="HB260" s="120"/>
      <c r="HC260" s="120"/>
      <c r="HD260" s="120"/>
      <c r="HE260" s="120"/>
      <c r="HF260" s="120"/>
      <c r="HG260" s="120"/>
      <c r="HH260" s="120"/>
      <c r="HI260" s="120"/>
      <c r="HJ260" s="120"/>
      <c r="HK260" s="120"/>
      <c r="HL260" s="120"/>
      <c r="HM260" s="120"/>
      <c r="HN260" s="120"/>
      <c r="HO260" s="120"/>
      <c r="HP260" s="120"/>
      <c r="HQ260" s="120"/>
      <c r="HR260" s="120"/>
      <c r="HS260" s="120"/>
      <c r="HT260" s="120"/>
      <c r="HU260" s="120"/>
      <c r="HV260" s="120"/>
      <c r="HW260" s="120"/>
      <c r="HX260" s="120"/>
      <c r="HY260" s="120"/>
      <c r="HZ260" s="120"/>
      <c r="IA260" s="120"/>
      <c r="IB260" s="120"/>
      <c r="IC260" s="120"/>
      <c r="ID260" s="120"/>
      <c r="IE260" s="120"/>
      <c r="IF260" s="120"/>
      <c r="IG260" s="120"/>
      <c r="IH260" s="120"/>
      <c r="II260" s="120"/>
      <c r="IJ260" s="120"/>
      <c r="IK260" s="120"/>
      <c r="IL260" s="120"/>
      <c r="IM260" s="120"/>
    </row>
    <row r="261" spans="1:247" ht="177" customHeight="1" x14ac:dyDescent="0.25">
      <c r="B261" s="121" t="s">
        <v>174</v>
      </c>
      <c r="C261" s="119" t="s">
        <v>85</v>
      </c>
      <c r="D261" s="122">
        <v>12</v>
      </c>
      <c r="E261" s="54">
        <v>5</v>
      </c>
      <c r="F261" s="75">
        <f>SUM(E261/D261*100)</f>
        <v>41.666666666666671</v>
      </c>
      <c r="G261" s="702"/>
      <c r="H261" s="717" t="s">
        <v>372</v>
      </c>
      <c r="I261" s="718"/>
      <c r="J261" s="718"/>
      <c r="K261" s="718"/>
      <c r="L261" s="718"/>
      <c r="M261" s="718"/>
      <c r="N261" s="718"/>
      <c r="O261" s="718"/>
      <c r="P261" s="718"/>
      <c r="Q261" s="718"/>
      <c r="R261" s="718"/>
      <c r="S261" s="718"/>
      <c r="T261" s="718"/>
      <c r="U261" s="718"/>
      <c r="V261" s="718"/>
      <c r="W261" s="718"/>
      <c r="X261" s="718"/>
      <c r="Y261" s="718"/>
      <c r="Z261" s="718"/>
      <c r="AA261" s="718"/>
      <c r="AB261" s="718"/>
      <c r="AC261" s="718"/>
      <c r="AD261" s="718"/>
      <c r="AE261" s="718"/>
      <c r="AF261" s="718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20"/>
      <c r="AV261" s="120"/>
      <c r="AW261" s="120"/>
      <c r="AX261" s="120"/>
      <c r="AY261" s="120"/>
      <c r="AZ261" s="120"/>
      <c r="BA261" s="120"/>
      <c r="BB261" s="120"/>
      <c r="BC261" s="120"/>
      <c r="BD261" s="120"/>
      <c r="BE261" s="120"/>
      <c r="BF261" s="120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20"/>
      <c r="BS261" s="120"/>
      <c r="BT261" s="120"/>
      <c r="BU261" s="120"/>
      <c r="BV261" s="120"/>
      <c r="BW261" s="120"/>
      <c r="BX261" s="120"/>
      <c r="BY261" s="120"/>
      <c r="BZ261" s="120"/>
      <c r="CA261" s="120"/>
      <c r="CB261" s="120"/>
      <c r="CC261" s="120"/>
      <c r="CD261" s="120"/>
      <c r="CE261" s="120"/>
      <c r="CF261" s="120"/>
      <c r="CG261" s="120"/>
      <c r="CH261" s="120"/>
      <c r="CI261" s="120"/>
      <c r="CJ261" s="120"/>
      <c r="CK261" s="120"/>
      <c r="CL261" s="120"/>
      <c r="CM261" s="120"/>
      <c r="CN261" s="120"/>
      <c r="CO261" s="120"/>
      <c r="CP261" s="120"/>
      <c r="CQ261" s="120"/>
      <c r="CR261" s="120"/>
      <c r="CS261" s="120"/>
      <c r="CT261" s="120"/>
      <c r="CU261" s="120"/>
      <c r="CV261" s="120"/>
      <c r="CW261" s="120"/>
      <c r="CX261" s="120"/>
      <c r="CY261" s="120"/>
      <c r="CZ261" s="120"/>
      <c r="DA261" s="120"/>
      <c r="DB261" s="120"/>
      <c r="DC261" s="120"/>
      <c r="DD261" s="120"/>
      <c r="DE261" s="120"/>
      <c r="DF261" s="120"/>
      <c r="DG261" s="120"/>
      <c r="DH261" s="120"/>
      <c r="DI261" s="120"/>
      <c r="DJ261" s="120"/>
      <c r="DK261" s="120"/>
      <c r="DL261" s="120"/>
      <c r="DM261" s="120"/>
      <c r="DN261" s="120"/>
      <c r="DO261" s="120"/>
      <c r="DP261" s="120"/>
      <c r="DQ261" s="120"/>
      <c r="DR261" s="120"/>
      <c r="DS261" s="120"/>
      <c r="DT261" s="120"/>
      <c r="DU261" s="120"/>
      <c r="DV261" s="120"/>
      <c r="DW261" s="120"/>
      <c r="DX261" s="120"/>
      <c r="DY261" s="120"/>
      <c r="DZ261" s="120"/>
      <c r="EA261" s="120"/>
      <c r="EB261" s="120"/>
      <c r="EC261" s="120"/>
      <c r="ED261" s="120"/>
      <c r="EE261" s="120"/>
      <c r="EF261" s="120"/>
      <c r="EG261" s="120"/>
      <c r="EH261" s="120"/>
      <c r="EI261" s="120"/>
      <c r="EJ261" s="120"/>
      <c r="EK261" s="120"/>
      <c r="EL261" s="120"/>
      <c r="EM261" s="120"/>
      <c r="EN261" s="120"/>
      <c r="EO261" s="120"/>
      <c r="EP261" s="120"/>
      <c r="EQ261" s="120"/>
      <c r="ER261" s="120"/>
      <c r="ES261" s="120"/>
      <c r="ET261" s="120"/>
      <c r="EU261" s="120"/>
      <c r="EV261" s="120"/>
      <c r="EW261" s="120"/>
      <c r="EX261" s="120"/>
      <c r="EY261" s="120"/>
      <c r="EZ261" s="120"/>
      <c r="FA261" s="120"/>
      <c r="FB261" s="120"/>
      <c r="FC261" s="120"/>
      <c r="FD261" s="120"/>
      <c r="FE261" s="120"/>
      <c r="FF261" s="120"/>
      <c r="FG261" s="120"/>
      <c r="FH261" s="120"/>
      <c r="FI261" s="120"/>
      <c r="FJ261" s="120"/>
      <c r="FK261" s="120"/>
      <c r="FL261" s="120"/>
      <c r="FM261" s="120"/>
      <c r="FN261" s="120"/>
      <c r="FO261" s="120"/>
      <c r="FP261" s="120"/>
      <c r="FQ261" s="120"/>
      <c r="FR261" s="120"/>
      <c r="FS261" s="120"/>
      <c r="FT261" s="120"/>
      <c r="FU261" s="120"/>
      <c r="FV261" s="120"/>
      <c r="FW261" s="120"/>
      <c r="FX261" s="120"/>
      <c r="FY261" s="120"/>
      <c r="FZ261" s="120"/>
      <c r="GA261" s="120"/>
      <c r="GB261" s="120"/>
      <c r="GC261" s="120"/>
      <c r="GD261" s="120"/>
      <c r="GE261" s="120"/>
      <c r="GF261" s="120"/>
      <c r="GG261" s="120"/>
      <c r="GH261" s="120"/>
      <c r="GI261" s="120"/>
      <c r="GJ261" s="120"/>
      <c r="GK261" s="120"/>
      <c r="GL261" s="120"/>
      <c r="GM261" s="120"/>
      <c r="GN261" s="120"/>
      <c r="GO261" s="120"/>
      <c r="GP261" s="120"/>
      <c r="GQ261" s="120"/>
      <c r="GR261" s="120"/>
      <c r="GS261" s="120"/>
      <c r="GT261" s="120"/>
      <c r="GU261" s="120"/>
      <c r="GV261" s="120"/>
      <c r="GW261" s="120"/>
      <c r="GX261" s="120"/>
      <c r="GY261" s="120"/>
      <c r="GZ261" s="120"/>
      <c r="HA261" s="120"/>
      <c r="HB261" s="120"/>
      <c r="HC261" s="120"/>
      <c r="HD261" s="120"/>
      <c r="HE261" s="120"/>
      <c r="HF261" s="120"/>
      <c r="HG261" s="120"/>
      <c r="HH261" s="120"/>
      <c r="HI261" s="120"/>
      <c r="HJ261" s="120"/>
      <c r="HK261" s="120"/>
      <c r="HL261" s="120"/>
      <c r="HM261" s="120"/>
      <c r="HN261" s="120"/>
      <c r="HO261" s="120"/>
      <c r="HP261" s="120"/>
      <c r="HQ261" s="120"/>
      <c r="HR261" s="120"/>
      <c r="HS261" s="120"/>
      <c r="HT261" s="120"/>
      <c r="HU261" s="120"/>
      <c r="HV261" s="120"/>
      <c r="HW261" s="120"/>
      <c r="HX261" s="120"/>
      <c r="HY261" s="120"/>
      <c r="HZ261" s="120"/>
      <c r="IA261" s="120"/>
      <c r="IB261" s="120"/>
      <c r="IC261" s="120"/>
      <c r="ID261" s="120"/>
      <c r="IE261" s="120"/>
      <c r="IF261" s="120"/>
      <c r="IG261" s="120"/>
      <c r="IH261" s="120"/>
      <c r="II261" s="120"/>
      <c r="IJ261" s="120"/>
      <c r="IK261" s="120"/>
      <c r="IL261" s="120"/>
      <c r="IM261" s="120"/>
    </row>
    <row r="262" spans="1:247" ht="14.25" customHeight="1" x14ac:dyDescent="0.25">
      <c r="B262" s="827" t="s">
        <v>373</v>
      </c>
      <c r="C262" s="827"/>
      <c r="D262" s="827"/>
      <c r="E262" s="827"/>
      <c r="F262" s="827"/>
      <c r="G262" s="828"/>
      <c r="H262" s="717"/>
      <c r="I262" s="718"/>
      <c r="J262" s="718"/>
      <c r="K262" s="718"/>
      <c r="L262" s="718"/>
      <c r="M262" s="718"/>
      <c r="N262" s="718"/>
      <c r="O262" s="718"/>
      <c r="P262" s="718"/>
      <c r="Q262" s="718"/>
      <c r="R262" s="718"/>
      <c r="S262" s="718"/>
      <c r="T262" s="718"/>
      <c r="U262" s="718"/>
      <c r="V262" s="718"/>
      <c r="W262" s="718"/>
      <c r="X262" s="718"/>
      <c r="Y262" s="718"/>
      <c r="Z262" s="718"/>
      <c r="AA262" s="718"/>
      <c r="AB262" s="718"/>
      <c r="AC262" s="718"/>
      <c r="AD262" s="718"/>
      <c r="AE262" s="718"/>
      <c r="AF262" s="718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20"/>
      <c r="AV262" s="120"/>
      <c r="AW262" s="120"/>
      <c r="AX262" s="120"/>
      <c r="AY262" s="120"/>
      <c r="AZ262" s="120"/>
      <c r="BA262" s="120"/>
      <c r="BB262" s="120"/>
      <c r="BC262" s="120"/>
      <c r="BD262" s="120"/>
      <c r="BE262" s="120"/>
      <c r="BF262" s="120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20"/>
      <c r="BS262" s="120"/>
      <c r="BT262" s="120"/>
      <c r="BU262" s="120"/>
      <c r="BV262" s="120"/>
      <c r="BW262" s="120"/>
      <c r="BX262" s="120"/>
      <c r="BY262" s="120"/>
      <c r="BZ262" s="120"/>
      <c r="CA262" s="120"/>
      <c r="CB262" s="120"/>
      <c r="CC262" s="120"/>
      <c r="CD262" s="120"/>
      <c r="CE262" s="120"/>
      <c r="CF262" s="120"/>
      <c r="CG262" s="120"/>
      <c r="CH262" s="120"/>
      <c r="CI262" s="120"/>
      <c r="CJ262" s="120"/>
      <c r="CK262" s="120"/>
      <c r="CL262" s="120"/>
      <c r="CM262" s="120"/>
      <c r="CN262" s="120"/>
      <c r="CO262" s="120"/>
      <c r="CP262" s="120"/>
      <c r="CQ262" s="120"/>
      <c r="CR262" s="120"/>
      <c r="CS262" s="120"/>
      <c r="CT262" s="120"/>
      <c r="CU262" s="120"/>
      <c r="CV262" s="120"/>
      <c r="CW262" s="120"/>
      <c r="CX262" s="120"/>
      <c r="CY262" s="120"/>
      <c r="CZ262" s="120"/>
      <c r="DA262" s="120"/>
      <c r="DB262" s="120"/>
      <c r="DC262" s="120"/>
      <c r="DD262" s="120"/>
      <c r="DE262" s="120"/>
      <c r="DF262" s="120"/>
      <c r="DG262" s="120"/>
      <c r="DH262" s="120"/>
      <c r="DI262" s="120"/>
      <c r="DJ262" s="120"/>
      <c r="DK262" s="120"/>
      <c r="DL262" s="120"/>
      <c r="DM262" s="120"/>
      <c r="DN262" s="120"/>
      <c r="DO262" s="120"/>
      <c r="DP262" s="120"/>
      <c r="DQ262" s="120"/>
      <c r="DR262" s="120"/>
      <c r="DS262" s="120"/>
      <c r="DT262" s="120"/>
      <c r="DU262" s="120"/>
      <c r="DV262" s="120"/>
      <c r="DW262" s="120"/>
      <c r="DX262" s="120"/>
      <c r="DY262" s="120"/>
      <c r="DZ262" s="120"/>
      <c r="EA262" s="120"/>
      <c r="EB262" s="120"/>
      <c r="EC262" s="120"/>
      <c r="ED262" s="120"/>
      <c r="EE262" s="120"/>
      <c r="EF262" s="120"/>
      <c r="EG262" s="120"/>
      <c r="EH262" s="120"/>
      <c r="EI262" s="120"/>
      <c r="EJ262" s="120"/>
      <c r="EK262" s="120"/>
      <c r="EL262" s="120"/>
      <c r="EM262" s="120"/>
      <c r="EN262" s="120"/>
      <c r="EO262" s="120"/>
      <c r="EP262" s="120"/>
      <c r="EQ262" s="120"/>
      <c r="ER262" s="120"/>
      <c r="ES262" s="120"/>
      <c r="ET262" s="120"/>
      <c r="EU262" s="120"/>
      <c r="EV262" s="120"/>
      <c r="EW262" s="120"/>
      <c r="EX262" s="120"/>
      <c r="EY262" s="120"/>
      <c r="EZ262" s="120"/>
      <c r="FA262" s="120"/>
      <c r="FB262" s="120"/>
      <c r="FC262" s="120"/>
      <c r="FD262" s="120"/>
      <c r="FE262" s="120"/>
      <c r="FF262" s="120"/>
      <c r="FG262" s="120"/>
      <c r="FH262" s="120"/>
      <c r="FI262" s="120"/>
      <c r="FJ262" s="120"/>
      <c r="FK262" s="120"/>
      <c r="FL262" s="120"/>
      <c r="FM262" s="120"/>
      <c r="FN262" s="120"/>
      <c r="FO262" s="120"/>
      <c r="FP262" s="120"/>
      <c r="FQ262" s="120"/>
      <c r="FR262" s="120"/>
      <c r="FS262" s="120"/>
      <c r="FT262" s="120"/>
      <c r="FU262" s="120"/>
      <c r="FV262" s="120"/>
      <c r="FW262" s="120"/>
      <c r="FX262" s="120"/>
      <c r="FY262" s="120"/>
      <c r="FZ262" s="120"/>
      <c r="GA262" s="120"/>
      <c r="GB262" s="120"/>
      <c r="GC262" s="120"/>
      <c r="GD262" s="120"/>
      <c r="GE262" s="120"/>
      <c r="GF262" s="120"/>
      <c r="GG262" s="120"/>
      <c r="GH262" s="120"/>
      <c r="GI262" s="120"/>
      <c r="GJ262" s="120"/>
      <c r="GK262" s="120"/>
      <c r="GL262" s="120"/>
      <c r="GM262" s="120"/>
      <c r="GN262" s="120"/>
      <c r="GO262" s="120"/>
      <c r="GP262" s="120"/>
      <c r="GQ262" s="120"/>
      <c r="GR262" s="120"/>
      <c r="GS262" s="120"/>
      <c r="GT262" s="120"/>
      <c r="GU262" s="120"/>
      <c r="GV262" s="120"/>
      <c r="GW262" s="120"/>
      <c r="GX262" s="120"/>
      <c r="GY262" s="120"/>
      <c r="GZ262" s="120"/>
      <c r="HA262" s="120"/>
      <c r="HB262" s="120"/>
      <c r="HC262" s="120"/>
      <c r="HD262" s="120"/>
      <c r="HE262" s="120"/>
      <c r="HF262" s="120"/>
      <c r="HG262" s="120"/>
      <c r="HH262" s="120"/>
      <c r="HI262" s="120"/>
      <c r="HJ262" s="120"/>
      <c r="HK262" s="120"/>
      <c r="HL262" s="120"/>
      <c r="HM262" s="120"/>
      <c r="HN262" s="120"/>
      <c r="HO262" s="120"/>
      <c r="HP262" s="120"/>
      <c r="HQ262" s="120"/>
      <c r="HR262" s="120"/>
      <c r="HS262" s="120"/>
      <c r="HT262" s="120"/>
      <c r="HU262" s="120"/>
      <c r="HV262" s="120"/>
      <c r="HW262" s="120"/>
      <c r="HX262" s="120"/>
      <c r="HY262" s="120"/>
      <c r="HZ262" s="120"/>
      <c r="IA262" s="120"/>
      <c r="IB262" s="120"/>
      <c r="IC262" s="120"/>
      <c r="ID262" s="120"/>
      <c r="IE262" s="120"/>
      <c r="IF262" s="120"/>
      <c r="IG262" s="120"/>
      <c r="IH262" s="120"/>
      <c r="II262" s="120"/>
      <c r="IJ262" s="120"/>
      <c r="IK262" s="120"/>
      <c r="IL262" s="120"/>
      <c r="IM262" s="120"/>
    </row>
    <row r="263" spans="1:247" ht="31.5" x14ac:dyDescent="0.25">
      <c r="B263" s="121" t="s">
        <v>175</v>
      </c>
      <c r="C263" s="119" t="s">
        <v>85</v>
      </c>
      <c r="D263" s="122">
        <v>5</v>
      </c>
      <c r="E263" s="54">
        <v>5</v>
      </c>
      <c r="F263" s="75">
        <f>SUM(E263/D263*100)</f>
        <v>100</v>
      </c>
      <c r="G263" s="702"/>
      <c r="H263" s="454"/>
      <c r="I263" s="718"/>
      <c r="J263" s="718"/>
      <c r="K263" s="718"/>
      <c r="L263" s="718"/>
      <c r="M263" s="718"/>
      <c r="N263" s="718"/>
      <c r="O263" s="718"/>
      <c r="P263" s="718"/>
      <c r="Q263" s="718"/>
      <c r="R263" s="718"/>
      <c r="S263" s="718"/>
      <c r="T263" s="718"/>
      <c r="U263" s="718"/>
      <c r="V263" s="718"/>
      <c r="W263" s="718"/>
      <c r="X263" s="718"/>
      <c r="Y263" s="718"/>
      <c r="Z263" s="718"/>
      <c r="AA263" s="718"/>
      <c r="AB263" s="718"/>
      <c r="AC263" s="718"/>
      <c r="AD263" s="718"/>
      <c r="AE263" s="718"/>
      <c r="AF263" s="718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20"/>
      <c r="AV263" s="120"/>
      <c r="AW263" s="120"/>
      <c r="AX263" s="120"/>
      <c r="AY263" s="120"/>
      <c r="AZ263" s="120"/>
      <c r="BA263" s="120"/>
      <c r="BB263" s="120"/>
      <c r="BC263" s="120"/>
      <c r="BD263" s="120"/>
      <c r="BE263" s="120"/>
      <c r="BF263" s="120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20"/>
      <c r="BS263" s="120"/>
      <c r="BT263" s="120"/>
      <c r="BU263" s="120"/>
      <c r="BV263" s="120"/>
      <c r="BW263" s="120"/>
      <c r="BX263" s="120"/>
      <c r="BY263" s="120"/>
      <c r="BZ263" s="120"/>
      <c r="CA263" s="120"/>
      <c r="CB263" s="120"/>
      <c r="CC263" s="120"/>
      <c r="CD263" s="120"/>
      <c r="CE263" s="120"/>
      <c r="CF263" s="120"/>
      <c r="CG263" s="120"/>
      <c r="CH263" s="120"/>
      <c r="CI263" s="120"/>
      <c r="CJ263" s="120"/>
      <c r="CK263" s="120"/>
      <c r="CL263" s="120"/>
      <c r="CM263" s="120"/>
      <c r="CN263" s="120"/>
      <c r="CO263" s="120"/>
      <c r="CP263" s="120"/>
      <c r="CQ263" s="120"/>
      <c r="CR263" s="120"/>
      <c r="CS263" s="120"/>
      <c r="CT263" s="120"/>
      <c r="CU263" s="120"/>
      <c r="CV263" s="120"/>
      <c r="CW263" s="120"/>
      <c r="CX263" s="120"/>
      <c r="CY263" s="120"/>
      <c r="CZ263" s="120"/>
      <c r="DA263" s="120"/>
      <c r="DB263" s="120"/>
      <c r="DC263" s="120"/>
      <c r="DD263" s="120"/>
      <c r="DE263" s="120"/>
      <c r="DF263" s="120"/>
      <c r="DG263" s="120"/>
      <c r="DH263" s="120"/>
      <c r="DI263" s="120"/>
      <c r="DJ263" s="120"/>
      <c r="DK263" s="120"/>
      <c r="DL263" s="120"/>
      <c r="DM263" s="120"/>
      <c r="DN263" s="120"/>
      <c r="DO263" s="120"/>
      <c r="DP263" s="120"/>
      <c r="DQ263" s="120"/>
      <c r="DR263" s="120"/>
      <c r="DS263" s="120"/>
      <c r="DT263" s="120"/>
      <c r="DU263" s="120"/>
      <c r="DV263" s="120"/>
      <c r="DW263" s="120"/>
      <c r="DX263" s="120"/>
      <c r="DY263" s="120"/>
      <c r="DZ263" s="120"/>
      <c r="EA263" s="120"/>
      <c r="EB263" s="120"/>
      <c r="EC263" s="120"/>
      <c r="ED263" s="120"/>
      <c r="EE263" s="120"/>
      <c r="EF263" s="120"/>
      <c r="EG263" s="120"/>
      <c r="EH263" s="120"/>
      <c r="EI263" s="120"/>
      <c r="EJ263" s="120"/>
      <c r="EK263" s="120"/>
      <c r="EL263" s="120"/>
      <c r="EM263" s="120"/>
      <c r="EN263" s="120"/>
      <c r="EO263" s="120"/>
      <c r="EP263" s="120"/>
      <c r="EQ263" s="120"/>
      <c r="ER263" s="120"/>
      <c r="ES263" s="120"/>
      <c r="ET263" s="120"/>
      <c r="EU263" s="120"/>
      <c r="EV263" s="120"/>
      <c r="EW263" s="120"/>
      <c r="EX263" s="120"/>
      <c r="EY263" s="120"/>
      <c r="EZ263" s="120"/>
      <c r="FA263" s="120"/>
      <c r="FB263" s="120"/>
      <c r="FC263" s="120"/>
      <c r="FD263" s="120"/>
      <c r="FE263" s="120"/>
      <c r="FF263" s="120"/>
      <c r="FG263" s="120"/>
      <c r="FH263" s="120"/>
      <c r="FI263" s="120"/>
      <c r="FJ263" s="120"/>
      <c r="FK263" s="120"/>
      <c r="FL263" s="120"/>
      <c r="FM263" s="120"/>
      <c r="FN263" s="120"/>
      <c r="FO263" s="120"/>
      <c r="FP263" s="120"/>
      <c r="FQ263" s="120"/>
      <c r="FR263" s="120"/>
      <c r="FS263" s="120"/>
      <c r="FT263" s="120"/>
      <c r="FU263" s="120"/>
      <c r="FV263" s="120"/>
      <c r="FW263" s="120"/>
      <c r="FX263" s="120"/>
      <c r="FY263" s="120"/>
      <c r="FZ263" s="120"/>
      <c r="GA263" s="120"/>
      <c r="GB263" s="120"/>
      <c r="GC263" s="120"/>
      <c r="GD263" s="120"/>
      <c r="GE263" s="120"/>
      <c r="GF263" s="120"/>
      <c r="GG263" s="120"/>
      <c r="GH263" s="120"/>
      <c r="GI263" s="120"/>
      <c r="GJ263" s="120"/>
      <c r="GK263" s="120"/>
      <c r="GL263" s="120"/>
      <c r="GM263" s="120"/>
      <c r="GN263" s="120"/>
      <c r="GO263" s="120"/>
      <c r="GP263" s="120"/>
      <c r="GQ263" s="120"/>
      <c r="GR263" s="120"/>
      <c r="GS263" s="120"/>
      <c r="GT263" s="120"/>
      <c r="GU263" s="120"/>
      <c r="GV263" s="120"/>
      <c r="GW263" s="120"/>
      <c r="GX263" s="120"/>
      <c r="GY263" s="120"/>
      <c r="GZ263" s="120"/>
      <c r="HA263" s="120"/>
      <c r="HB263" s="120"/>
      <c r="HC263" s="120"/>
      <c r="HD263" s="120"/>
      <c r="HE263" s="120"/>
      <c r="HF263" s="120"/>
      <c r="HG263" s="120"/>
      <c r="HH263" s="120"/>
      <c r="HI263" s="120"/>
      <c r="HJ263" s="120"/>
      <c r="HK263" s="120"/>
      <c r="HL263" s="120"/>
      <c r="HM263" s="120"/>
      <c r="HN263" s="120"/>
      <c r="HO263" s="120"/>
      <c r="HP263" s="120"/>
      <c r="HQ263" s="120"/>
      <c r="HR263" s="120"/>
      <c r="HS263" s="120"/>
      <c r="HT263" s="120"/>
      <c r="HU263" s="120"/>
      <c r="HV263" s="120"/>
      <c r="HW263" s="120"/>
      <c r="HX263" s="120"/>
      <c r="HY263" s="120"/>
      <c r="HZ263" s="120"/>
      <c r="IA263" s="120"/>
      <c r="IB263" s="120"/>
      <c r="IC263" s="120"/>
      <c r="ID263" s="120"/>
      <c r="IE263" s="120"/>
      <c r="IF263" s="120"/>
      <c r="IG263" s="120"/>
      <c r="IH263" s="120"/>
      <c r="II263" s="120"/>
      <c r="IJ263" s="120"/>
      <c r="IK263" s="120"/>
      <c r="IL263" s="120"/>
      <c r="IM263" s="120"/>
    </row>
    <row r="264" spans="1:247" s="311" customFormat="1" ht="36" customHeight="1" x14ac:dyDescent="0.25">
      <c r="A264" s="678">
        <v>16</v>
      </c>
      <c r="B264" s="820" t="s">
        <v>1320</v>
      </c>
      <c r="C264" s="820"/>
      <c r="D264" s="820"/>
      <c r="E264" s="820"/>
      <c r="F264" s="820"/>
      <c r="G264" s="691">
        <f>SUM(F266+F267+F268+F269+F270)/5</f>
        <v>97.12361085242442</v>
      </c>
      <c r="H264" s="708"/>
      <c r="I264" s="678"/>
      <c r="J264" s="678"/>
      <c r="K264" s="678"/>
      <c r="L264" s="678"/>
      <c r="M264" s="678"/>
      <c r="N264" s="678"/>
      <c r="O264" s="678"/>
      <c r="P264" s="678"/>
      <c r="Q264" s="678"/>
      <c r="R264" s="678"/>
      <c r="S264" s="678"/>
      <c r="T264" s="678"/>
      <c r="U264" s="678"/>
      <c r="V264" s="678"/>
      <c r="W264" s="678"/>
      <c r="X264" s="678"/>
      <c r="Y264" s="678"/>
      <c r="Z264" s="678"/>
      <c r="AA264" s="678"/>
      <c r="AB264" s="678"/>
      <c r="AC264" s="678"/>
      <c r="AD264" s="678"/>
      <c r="AE264" s="678"/>
      <c r="AF264" s="678"/>
    </row>
    <row r="265" spans="1:247" ht="19.5" customHeight="1" x14ac:dyDescent="0.25">
      <c r="B265" s="800" t="s">
        <v>1322</v>
      </c>
      <c r="C265" s="801"/>
      <c r="D265" s="801"/>
      <c r="E265" s="801"/>
      <c r="F265" s="801"/>
      <c r="G265" s="801"/>
      <c r="H265" s="802"/>
    </row>
    <row r="266" spans="1:247" ht="33.75" customHeight="1" x14ac:dyDescent="0.25">
      <c r="B266" s="125" t="s">
        <v>374</v>
      </c>
      <c r="C266" s="48" t="s">
        <v>52</v>
      </c>
      <c r="D266" s="51">
        <v>45.5</v>
      </c>
      <c r="E266" s="44">
        <v>45.1</v>
      </c>
      <c r="F266" s="75">
        <f>SUM(E266/D266*100)</f>
        <v>99.120879120879124</v>
      </c>
      <c r="G266" s="682"/>
    </row>
    <row r="267" spans="1:247" ht="60.75" customHeight="1" x14ac:dyDescent="0.25">
      <c r="B267" s="126" t="s">
        <v>375</v>
      </c>
      <c r="C267" s="48" t="s">
        <v>52</v>
      </c>
      <c r="D267" s="48">
        <v>59</v>
      </c>
      <c r="E267" s="44">
        <v>58.9</v>
      </c>
      <c r="F267" s="75">
        <f>SUM(E267/D267*100)</f>
        <v>99.830508474576277</v>
      </c>
      <c r="G267" s="682"/>
    </row>
    <row r="268" spans="1:247" ht="45" customHeight="1" x14ac:dyDescent="0.25">
      <c r="B268" s="126" t="s">
        <v>376</v>
      </c>
      <c r="C268" s="48" t="s">
        <v>85</v>
      </c>
      <c r="D268" s="48">
        <v>30</v>
      </c>
      <c r="E268" s="44">
        <v>26</v>
      </c>
      <c r="F268" s="75">
        <f>SUM(E268/D268*100)</f>
        <v>86.666666666666671</v>
      </c>
      <c r="G268" s="682"/>
    </row>
    <row r="269" spans="1:247" ht="31.5" customHeight="1" x14ac:dyDescent="0.25">
      <c r="B269" s="126" t="s">
        <v>377</v>
      </c>
      <c r="C269" s="49" t="s">
        <v>52</v>
      </c>
      <c r="D269" s="49">
        <v>10.3</v>
      </c>
      <c r="E269" s="44">
        <v>11.2</v>
      </c>
      <c r="F269" s="75">
        <v>100</v>
      </c>
      <c r="G269" s="682"/>
    </row>
    <row r="270" spans="1:247" ht="60.75" customHeight="1" x14ac:dyDescent="0.25">
      <c r="B270" s="126" t="s">
        <v>378</v>
      </c>
      <c r="C270" s="40" t="s">
        <v>52</v>
      </c>
      <c r="D270" s="40">
        <v>53</v>
      </c>
      <c r="E270" s="44">
        <v>53</v>
      </c>
      <c r="F270" s="75">
        <f>SUM(E270/D270*100)</f>
        <v>100</v>
      </c>
      <c r="G270" s="682"/>
    </row>
    <row r="271" spans="1:247" s="311" customFormat="1" ht="32.25" customHeight="1" x14ac:dyDescent="0.25">
      <c r="A271" s="678">
        <v>17</v>
      </c>
      <c r="B271" s="820" t="s">
        <v>1385</v>
      </c>
      <c r="C271" s="820"/>
      <c r="D271" s="820"/>
      <c r="E271" s="820"/>
      <c r="F271" s="820"/>
      <c r="G271" s="691">
        <f>SUM(F274+F275+F276+F277+F279+F280+F281+F282+F283+F285+F287+F288+F289+F290+F291+F292+F293+F294+F295+F298+F299+F300+F301)/23</f>
        <v>91.168146880648152</v>
      </c>
      <c r="H271" s="708"/>
      <c r="I271" s="678"/>
      <c r="J271" s="678"/>
      <c r="K271" s="678"/>
      <c r="L271" s="678"/>
      <c r="M271" s="678"/>
      <c r="N271" s="678"/>
      <c r="O271" s="678"/>
      <c r="P271" s="678"/>
      <c r="Q271" s="678"/>
      <c r="R271" s="678"/>
      <c r="S271" s="678"/>
      <c r="T271" s="678"/>
      <c r="U271" s="678"/>
      <c r="V271" s="678"/>
      <c r="W271" s="678"/>
      <c r="X271" s="678"/>
      <c r="Y271" s="678"/>
      <c r="Z271" s="678"/>
      <c r="AA271" s="678"/>
      <c r="AB271" s="678"/>
      <c r="AC271" s="678"/>
      <c r="AD271" s="678"/>
      <c r="AE271" s="678"/>
      <c r="AF271" s="678"/>
    </row>
    <row r="272" spans="1:247" ht="30" customHeight="1" x14ac:dyDescent="0.25">
      <c r="B272" s="800" t="s">
        <v>1367</v>
      </c>
      <c r="C272" s="801"/>
      <c r="D272" s="801"/>
      <c r="E272" s="801"/>
      <c r="F272" s="801"/>
      <c r="G272" s="801"/>
      <c r="H272" s="802"/>
      <c r="I272" s="718"/>
      <c r="J272" s="718"/>
      <c r="K272" s="718"/>
      <c r="L272" s="718"/>
      <c r="M272" s="718"/>
      <c r="N272" s="718"/>
      <c r="O272" s="718"/>
      <c r="P272" s="718"/>
      <c r="Q272" s="718"/>
      <c r="R272" s="718"/>
      <c r="S272" s="718"/>
      <c r="T272" s="718"/>
      <c r="U272" s="718"/>
      <c r="V272" s="718"/>
      <c r="W272" s="718"/>
      <c r="X272" s="718"/>
      <c r="Y272" s="718"/>
      <c r="Z272" s="718"/>
      <c r="AA272" s="718"/>
      <c r="AB272" s="718"/>
      <c r="AC272" s="718"/>
      <c r="AD272" s="718"/>
      <c r="AE272" s="718"/>
      <c r="AF272" s="718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20"/>
      <c r="AV272" s="120"/>
      <c r="AW272" s="120"/>
      <c r="AX272" s="120"/>
      <c r="AY272" s="120"/>
      <c r="AZ272" s="120"/>
      <c r="BA272" s="120"/>
      <c r="BB272" s="120"/>
      <c r="BC272" s="120"/>
      <c r="BD272" s="120"/>
      <c r="BE272" s="120"/>
      <c r="BF272" s="120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20"/>
      <c r="BS272" s="120"/>
      <c r="BT272" s="120"/>
      <c r="BU272" s="120"/>
      <c r="BV272" s="120"/>
      <c r="BW272" s="120"/>
      <c r="BX272" s="120"/>
      <c r="BY272" s="120"/>
      <c r="BZ272" s="120"/>
      <c r="CA272" s="120"/>
      <c r="CB272" s="120"/>
      <c r="CC272" s="120"/>
      <c r="CD272" s="120"/>
      <c r="CE272" s="120"/>
      <c r="CF272" s="120"/>
      <c r="CG272" s="120"/>
      <c r="CH272" s="120"/>
      <c r="CI272" s="120"/>
      <c r="CJ272" s="120"/>
      <c r="CK272" s="120"/>
      <c r="CL272" s="120"/>
      <c r="CM272" s="120"/>
      <c r="CN272" s="120"/>
      <c r="CO272" s="120"/>
      <c r="CP272" s="120"/>
      <c r="CQ272" s="120"/>
      <c r="CR272" s="120"/>
      <c r="CS272" s="120"/>
      <c r="CT272" s="120"/>
      <c r="CU272" s="120"/>
      <c r="CV272" s="120"/>
      <c r="CW272" s="120"/>
      <c r="CX272" s="120"/>
      <c r="CY272" s="120"/>
      <c r="CZ272" s="120"/>
      <c r="DA272" s="120"/>
      <c r="DB272" s="120"/>
      <c r="DC272" s="120"/>
      <c r="DD272" s="120"/>
      <c r="DE272" s="120"/>
      <c r="DF272" s="120"/>
      <c r="DG272" s="120"/>
      <c r="DH272" s="120"/>
      <c r="DI272" s="120"/>
      <c r="DJ272" s="120"/>
      <c r="DK272" s="120"/>
      <c r="DL272" s="120"/>
      <c r="DM272" s="120"/>
      <c r="DN272" s="120"/>
      <c r="DO272" s="120"/>
      <c r="DP272" s="120"/>
      <c r="DQ272" s="120"/>
      <c r="DR272" s="120"/>
      <c r="DS272" s="120"/>
      <c r="DT272" s="120"/>
      <c r="DU272" s="120"/>
      <c r="DV272" s="120"/>
      <c r="DW272" s="120"/>
      <c r="DX272" s="120"/>
      <c r="DY272" s="120"/>
      <c r="DZ272" s="120"/>
      <c r="EA272" s="120"/>
      <c r="EB272" s="120"/>
      <c r="EC272" s="120"/>
      <c r="ED272" s="120"/>
      <c r="EE272" s="120"/>
      <c r="EF272" s="120"/>
      <c r="EG272" s="120"/>
      <c r="EH272" s="120"/>
      <c r="EI272" s="120"/>
      <c r="EJ272" s="120"/>
      <c r="EK272" s="120"/>
      <c r="EL272" s="120"/>
      <c r="EM272" s="120"/>
      <c r="EN272" s="120"/>
      <c r="EO272" s="120"/>
      <c r="EP272" s="120"/>
      <c r="EQ272" s="120"/>
      <c r="ER272" s="120"/>
      <c r="ES272" s="120"/>
      <c r="ET272" s="120"/>
      <c r="EU272" s="120"/>
      <c r="EV272" s="120"/>
      <c r="EW272" s="120"/>
      <c r="EX272" s="120"/>
      <c r="EY272" s="120"/>
      <c r="EZ272" s="120"/>
      <c r="FA272" s="120"/>
      <c r="FB272" s="120"/>
      <c r="FC272" s="120"/>
      <c r="FD272" s="120"/>
      <c r="FE272" s="120"/>
      <c r="FF272" s="120"/>
      <c r="FG272" s="120"/>
      <c r="FH272" s="120"/>
      <c r="FI272" s="120"/>
      <c r="FJ272" s="120"/>
      <c r="FK272" s="120"/>
      <c r="FL272" s="120"/>
      <c r="FM272" s="120"/>
      <c r="FN272" s="120"/>
      <c r="FO272" s="120"/>
      <c r="FP272" s="120"/>
      <c r="FQ272" s="120"/>
      <c r="FR272" s="120"/>
      <c r="FS272" s="120"/>
      <c r="FT272" s="120"/>
      <c r="FU272" s="120"/>
      <c r="FV272" s="120"/>
      <c r="FW272" s="120"/>
      <c r="FX272" s="120"/>
      <c r="FY272" s="120"/>
      <c r="FZ272" s="120"/>
      <c r="GA272" s="120"/>
      <c r="GB272" s="120"/>
      <c r="GC272" s="120"/>
      <c r="GD272" s="120"/>
      <c r="GE272" s="120"/>
      <c r="GF272" s="120"/>
      <c r="GG272" s="120"/>
      <c r="GH272" s="120"/>
      <c r="GI272" s="120"/>
      <c r="GJ272" s="120"/>
      <c r="GK272" s="120"/>
      <c r="GL272" s="120"/>
      <c r="GM272" s="120"/>
      <c r="GN272" s="120"/>
      <c r="GO272" s="120"/>
      <c r="GP272" s="120"/>
      <c r="GQ272" s="120"/>
      <c r="GR272" s="120"/>
      <c r="GS272" s="120"/>
      <c r="GT272" s="120"/>
      <c r="GU272" s="120"/>
      <c r="GV272" s="120"/>
      <c r="GW272" s="120"/>
      <c r="GX272" s="120"/>
      <c r="GY272" s="120"/>
      <c r="GZ272" s="120"/>
      <c r="HA272" s="120"/>
      <c r="HB272" s="120"/>
      <c r="HC272" s="120"/>
      <c r="HD272" s="120"/>
      <c r="HE272" s="120"/>
      <c r="HF272" s="120"/>
      <c r="HG272" s="120"/>
      <c r="HH272" s="120"/>
      <c r="HI272" s="120"/>
      <c r="HJ272" s="120"/>
      <c r="HK272" s="120"/>
      <c r="HL272" s="120"/>
      <c r="HM272" s="120"/>
      <c r="HN272" s="120"/>
      <c r="HO272" s="120"/>
      <c r="HP272" s="120"/>
      <c r="HQ272" s="120"/>
      <c r="HR272" s="120"/>
      <c r="HS272" s="120"/>
      <c r="HT272" s="120"/>
      <c r="HU272" s="120"/>
      <c r="HV272" s="120"/>
      <c r="HW272" s="120"/>
      <c r="HX272" s="120"/>
      <c r="HY272" s="120"/>
      <c r="HZ272" s="120"/>
      <c r="IA272" s="120"/>
      <c r="IB272" s="120"/>
      <c r="IC272" s="120"/>
      <c r="ID272" s="120"/>
      <c r="IE272" s="120"/>
      <c r="IF272" s="120"/>
      <c r="IG272" s="120"/>
      <c r="IH272" s="120"/>
      <c r="II272" s="120"/>
      <c r="IJ272" s="120"/>
      <c r="IK272" s="120"/>
      <c r="IL272" s="120"/>
      <c r="IM272" s="120"/>
    </row>
    <row r="273" spans="2:247" ht="13.5" customHeight="1" x14ac:dyDescent="0.25">
      <c r="B273" s="825" t="s">
        <v>69</v>
      </c>
      <c r="C273" s="825"/>
      <c r="D273" s="825"/>
      <c r="E273" s="825"/>
      <c r="F273" s="825"/>
      <c r="G273" s="702"/>
      <c r="H273" s="717"/>
      <c r="I273" s="718"/>
      <c r="J273" s="718"/>
      <c r="K273" s="718"/>
      <c r="L273" s="718"/>
      <c r="M273" s="718"/>
      <c r="N273" s="718"/>
      <c r="O273" s="718"/>
      <c r="P273" s="718"/>
      <c r="Q273" s="718"/>
      <c r="R273" s="718"/>
      <c r="S273" s="718"/>
      <c r="T273" s="718"/>
      <c r="U273" s="718"/>
      <c r="V273" s="718"/>
      <c r="W273" s="718"/>
      <c r="X273" s="718"/>
      <c r="Y273" s="718"/>
      <c r="Z273" s="718"/>
      <c r="AA273" s="718"/>
      <c r="AB273" s="718"/>
      <c r="AC273" s="718"/>
      <c r="AD273" s="718"/>
      <c r="AE273" s="718"/>
      <c r="AF273" s="718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20"/>
      <c r="AV273" s="120"/>
      <c r="AW273" s="120"/>
      <c r="AX273" s="120"/>
      <c r="AY273" s="120"/>
      <c r="AZ273" s="120"/>
      <c r="BA273" s="120"/>
      <c r="BB273" s="120"/>
      <c r="BC273" s="120"/>
      <c r="BD273" s="120"/>
      <c r="BE273" s="120"/>
      <c r="BF273" s="120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20"/>
      <c r="BS273" s="120"/>
      <c r="BT273" s="120"/>
      <c r="BU273" s="120"/>
      <c r="BV273" s="120"/>
      <c r="BW273" s="120"/>
      <c r="BX273" s="120"/>
      <c r="BY273" s="120"/>
      <c r="BZ273" s="120"/>
      <c r="CA273" s="120"/>
      <c r="CB273" s="120"/>
      <c r="CC273" s="120"/>
      <c r="CD273" s="120"/>
      <c r="CE273" s="120"/>
      <c r="CF273" s="120"/>
      <c r="CG273" s="120"/>
      <c r="CH273" s="120"/>
      <c r="CI273" s="120"/>
      <c r="CJ273" s="120"/>
      <c r="CK273" s="120"/>
      <c r="CL273" s="120"/>
      <c r="CM273" s="120"/>
      <c r="CN273" s="120"/>
      <c r="CO273" s="120"/>
      <c r="CP273" s="120"/>
      <c r="CQ273" s="120"/>
      <c r="CR273" s="120"/>
      <c r="CS273" s="120"/>
      <c r="CT273" s="120"/>
      <c r="CU273" s="120"/>
      <c r="CV273" s="120"/>
      <c r="CW273" s="120"/>
      <c r="CX273" s="120"/>
      <c r="CY273" s="120"/>
      <c r="CZ273" s="120"/>
      <c r="DA273" s="120"/>
      <c r="DB273" s="120"/>
      <c r="DC273" s="120"/>
      <c r="DD273" s="120"/>
      <c r="DE273" s="120"/>
      <c r="DF273" s="120"/>
      <c r="DG273" s="120"/>
      <c r="DH273" s="120"/>
      <c r="DI273" s="120"/>
      <c r="DJ273" s="120"/>
      <c r="DK273" s="120"/>
      <c r="DL273" s="120"/>
      <c r="DM273" s="120"/>
      <c r="DN273" s="120"/>
      <c r="DO273" s="120"/>
      <c r="DP273" s="120"/>
      <c r="DQ273" s="120"/>
      <c r="DR273" s="120"/>
      <c r="DS273" s="120"/>
      <c r="DT273" s="120"/>
      <c r="DU273" s="120"/>
      <c r="DV273" s="120"/>
      <c r="DW273" s="120"/>
      <c r="DX273" s="120"/>
      <c r="DY273" s="120"/>
      <c r="DZ273" s="120"/>
      <c r="EA273" s="120"/>
      <c r="EB273" s="120"/>
      <c r="EC273" s="120"/>
      <c r="ED273" s="120"/>
      <c r="EE273" s="120"/>
      <c r="EF273" s="120"/>
      <c r="EG273" s="120"/>
      <c r="EH273" s="120"/>
      <c r="EI273" s="120"/>
      <c r="EJ273" s="120"/>
      <c r="EK273" s="120"/>
      <c r="EL273" s="120"/>
      <c r="EM273" s="120"/>
      <c r="EN273" s="120"/>
      <c r="EO273" s="120"/>
      <c r="EP273" s="120"/>
      <c r="EQ273" s="120"/>
      <c r="ER273" s="120"/>
      <c r="ES273" s="120"/>
      <c r="ET273" s="120"/>
      <c r="EU273" s="120"/>
      <c r="EV273" s="120"/>
      <c r="EW273" s="120"/>
      <c r="EX273" s="120"/>
      <c r="EY273" s="120"/>
      <c r="EZ273" s="120"/>
      <c r="FA273" s="120"/>
      <c r="FB273" s="120"/>
      <c r="FC273" s="120"/>
      <c r="FD273" s="120"/>
      <c r="FE273" s="120"/>
      <c r="FF273" s="120"/>
      <c r="FG273" s="120"/>
      <c r="FH273" s="120"/>
      <c r="FI273" s="120"/>
      <c r="FJ273" s="120"/>
      <c r="FK273" s="120"/>
      <c r="FL273" s="120"/>
      <c r="FM273" s="120"/>
      <c r="FN273" s="120"/>
      <c r="FO273" s="120"/>
      <c r="FP273" s="120"/>
      <c r="FQ273" s="120"/>
      <c r="FR273" s="120"/>
      <c r="FS273" s="120"/>
      <c r="FT273" s="120"/>
      <c r="FU273" s="120"/>
      <c r="FV273" s="120"/>
      <c r="FW273" s="120"/>
      <c r="FX273" s="120"/>
      <c r="FY273" s="120"/>
      <c r="FZ273" s="120"/>
      <c r="GA273" s="120"/>
      <c r="GB273" s="120"/>
      <c r="GC273" s="120"/>
      <c r="GD273" s="120"/>
      <c r="GE273" s="120"/>
      <c r="GF273" s="120"/>
      <c r="GG273" s="120"/>
      <c r="GH273" s="120"/>
      <c r="GI273" s="120"/>
      <c r="GJ273" s="120"/>
      <c r="GK273" s="120"/>
      <c r="GL273" s="120"/>
      <c r="GM273" s="120"/>
      <c r="GN273" s="120"/>
      <c r="GO273" s="120"/>
      <c r="GP273" s="120"/>
      <c r="GQ273" s="120"/>
      <c r="GR273" s="120"/>
      <c r="GS273" s="120"/>
      <c r="GT273" s="120"/>
      <c r="GU273" s="120"/>
      <c r="GV273" s="120"/>
      <c r="GW273" s="120"/>
      <c r="GX273" s="120"/>
      <c r="GY273" s="120"/>
      <c r="GZ273" s="120"/>
      <c r="HA273" s="120"/>
      <c r="HB273" s="120"/>
      <c r="HC273" s="120"/>
      <c r="HD273" s="120"/>
      <c r="HE273" s="120"/>
      <c r="HF273" s="120"/>
      <c r="HG273" s="120"/>
      <c r="HH273" s="120"/>
      <c r="HI273" s="120"/>
      <c r="HJ273" s="120"/>
      <c r="HK273" s="120"/>
      <c r="HL273" s="120"/>
      <c r="HM273" s="120"/>
      <c r="HN273" s="120"/>
      <c r="HO273" s="120"/>
      <c r="HP273" s="120"/>
      <c r="HQ273" s="120"/>
      <c r="HR273" s="120"/>
      <c r="HS273" s="120"/>
      <c r="HT273" s="120"/>
      <c r="HU273" s="120"/>
      <c r="HV273" s="120"/>
      <c r="HW273" s="120"/>
      <c r="HX273" s="120"/>
      <c r="HY273" s="120"/>
      <c r="HZ273" s="120"/>
      <c r="IA273" s="120"/>
      <c r="IB273" s="120"/>
      <c r="IC273" s="120"/>
      <c r="ID273" s="120"/>
      <c r="IE273" s="120"/>
      <c r="IF273" s="120"/>
      <c r="IG273" s="120"/>
      <c r="IH273" s="120"/>
      <c r="II273" s="120"/>
      <c r="IJ273" s="120"/>
      <c r="IK273" s="120"/>
      <c r="IL273" s="120"/>
      <c r="IM273" s="120"/>
    </row>
    <row r="274" spans="2:247" ht="19.5" customHeight="1" x14ac:dyDescent="0.25">
      <c r="B274" s="127" t="s">
        <v>70</v>
      </c>
      <c r="C274" s="25" t="s">
        <v>66</v>
      </c>
      <c r="D274" s="26">
        <v>29734</v>
      </c>
      <c r="E274" s="24">
        <v>16798</v>
      </c>
      <c r="F274" s="75">
        <f>IF((E274/D274*100)&gt;100,"100",E274/D274*100)</f>
        <v>56.494249007869776</v>
      </c>
      <c r="G274" s="702"/>
      <c r="H274" s="717"/>
      <c r="I274" s="718"/>
      <c r="J274" s="718"/>
      <c r="K274" s="718"/>
      <c r="L274" s="718"/>
      <c r="M274" s="718"/>
      <c r="N274" s="718"/>
      <c r="O274" s="718"/>
      <c r="P274" s="718"/>
      <c r="Q274" s="718"/>
      <c r="R274" s="718"/>
      <c r="S274" s="718"/>
      <c r="T274" s="718"/>
      <c r="U274" s="718"/>
      <c r="V274" s="718"/>
      <c r="W274" s="718"/>
      <c r="X274" s="718"/>
      <c r="Y274" s="718"/>
      <c r="Z274" s="718"/>
      <c r="AA274" s="718"/>
      <c r="AB274" s="718"/>
      <c r="AC274" s="718"/>
      <c r="AD274" s="718"/>
      <c r="AE274" s="718"/>
      <c r="AF274" s="718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20"/>
      <c r="AV274" s="120"/>
      <c r="AW274" s="120"/>
      <c r="AX274" s="120"/>
      <c r="AY274" s="120"/>
      <c r="AZ274" s="120"/>
      <c r="BA274" s="120"/>
      <c r="BB274" s="120"/>
      <c r="BC274" s="120"/>
      <c r="BD274" s="120"/>
      <c r="BE274" s="120"/>
      <c r="BF274" s="120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20"/>
      <c r="BS274" s="120"/>
      <c r="BT274" s="120"/>
      <c r="BU274" s="120"/>
      <c r="BV274" s="120"/>
      <c r="BW274" s="120"/>
      <c r="BX274" s="120"/>
      <c r="BY274" s="120"/>
      <c r="BZ274" s="120"/>
      <c r="CA274" s="120"/>
      <c r="CB274" s="120"/>
      <c r="CC274" s="120"/>
      <c r="CD274" s="120"/>
      <c r="CE274" s="120"/>
      <c r="CF274" s="120"/>
      <c r="CG274" s="120"/>
      <c r="CH274" s="120"/>
      <c r="CI274" s="120"/>
      <c r="CJ274" s="120"/>
      <c r="CK274" s="120"/>
      <c r="CL274" s="120"/>
      <c r="CM274" s="120"/>
      <c r="CN274" s="120"/>
      <c r="CO274" s="120"/>
      <c r="CP274" s="120"/>
      <c r="CQ274" s="120"/>
      <c r="CR274" s="120"/>
      <c r="CS274" s="120"/>
      <c r="CT274" s="120"/>
      <c r="CU274" s="120"/>
      <c r="CV274" s="120"/>
      <c r="CW274" s="120"/>
      <c r="CX274" s="120"/>
      <c r="CY274" s="120"/>
      <c r="CZ274" s="120"/>
      <c r="DA274" s="120"/>
      <c r="DB274" s="120"/>
      <c r="DC274" s="120"/>
      <c r="DD274" s="120"/>
      <c r="DE274" s="120"/>
      <c r="DF274" s="120"/>
      <c r="DG274" s="120"/>
      <c r="DH274" s="120"/>
      <c r="DI274" s="120"/>
      <c r="DJ274" s="120"/>
      <c r="DK274" s="120"/>
      <c r="DL274" s="120"/>
      <c r="DM274" s="120"/>
      <c r="DN274" s="120"/>
      <c r="DO274" s="120"/>
      <c r="DP274" s="120"/>
      <c r="DQ274" s="120"/>
      <c r="DR274" s="120"/>
      <c r="DS274" s="120"/>
      <c r="DT274" s="120"/>
      <c r="DU274" s="120"/>
      <c r="DV274" s="120"/>
      <c r="DW274" s="120"/>
      <c r="DX274" s="120"/>
      <c r="DY274" s="120"/>
      <c r="DZ274" s="120"/>
      <c r="EA274" s="120"/>
      <c r="EB274" s="120"/>
      <c r="EC274" s="120"/>
      <c r="ED274" s="120"/>
      <c r="EE274" s="120"/>
      <c r="EF274" s="120"/>
      <c r="EG274" s="120"/>
      <c r="EH274" s="120"/>
      <c r="EI274" s="120"/>
      <c r="EJ274" s="120"/>
      <c r="EK274" s="120"/>
      <c r="EL274" s="120"/>
      <c r="EM274" s="120"/>
      <c r="EN274" s="120"/>
      <c r="EO274" s="120"/>
      <c r="EP274" s="120"/>
      <c r="EQ274" s="120"/>
      <c r="ER274" s="120"/>
      <c r="ES274" s="120"/>
      <c r="ET274" s="120"/>
      <c r="EU274" s="120"/>
      <c r="EV274" s="120"/>
      <c r="EW274" s="120"/>
      <c r="EX274" s="120"/>
      <c r="EY274" s="120"/>
      <c r="EZ274" s="120"/>
      <c r="FA274" s="120"/>
      <c r="FB274" s="120"/>
      <c r="FC274" s="120"/>
      <c r="FD274" s="120"/>
      <c r="FE274" s="120"/>
      <c r="FF274" s="120"/>
      <c r="FG274" s="120"/>
      <c r="FH274" s="120"/>
      <c r="FI274" s="120"/>
      <c r="FJ274" s="120"/>
      <c r="FK274" s="120"/>
      <c r="FL274" s="120"/>
      <c r="FM274" s="120"/>
      <c r="FN274" s="120"/>
      <c r="FO274" s="120"/>
      <c r="FP274" s="120"/>
      <c r="FQ274" s="120"/>
      <c r="FR274" s="120"/>
      <c r="FS274" s="120"/>
      <c r="FT274" s="120"/>
      <c r="FU274" s="120"/>
      <c r="FV274" s="120"/>
      <c r="FW274" s="120"/>
      <c r="FX274" s="120"/>
      <c r="FY274" s="120"/>
      <c r="FZ274" s="120"/>
      <c r="GA274" s="120"/>
      <c r="GB274" s="120"/>
      <c r="GC274" s="120"/>
      <c r="GD274" s="120"/>
      <c r="GE274" s="120"/>
      <c r="GF274" s="120"/>
      <c r="GG274" s="120"/>
      <c r="GH274" s="120"/>
      <c r="GI274" s="120"/>
      <c r="GJ274" s="120"/>
      <c r="GK274" s="120"/>
      <c r="GL274" s="120"/>
      <c r="GM274" s="120"/>
      <c r="GN274" s="120"/>
      <c r="GO274" s="120"/>
      <c r="GP274" s="120"/>
      <c r="GQ274" s="120"/>
      <c r="GR274" s="120"/>
      <c r="GS274" s="120"/>
      <c r="GT274" s="120"/>
      <c r="GU274" s="120"/>
      <c r="GV274" s="120"/>
      <c r="GW274" s="120"/>
      <c r="GX274" s="120"/>
      <c r="GY274" s="120"/>
      <c r="GZ274" s="120"/>
      <c r="HA274" s="120"/>
      <c r="HB274" s="120"/>
      <c r="HC274" s="120"/>
      <c r="HD274" s="120"/>
      <c r="HE274" s="120"/>
      <c r="HF274" s="120"/>
      <c r="HG274" s="120"/>
      <c r="HH274" s="120"/>
      <c r="HI274" s="120"/>
      <c r="HJ274" s="120"/>
      <c r="HK274" s="120"/>
      <c r="HL274" s="120"/>
      <c r="HM274" s="120"/>
      <c r="HN274" s="120"/>
      <c r="HO274" s="120"/>
      <c r="HP274" s="120"/>
      <c r="HQ274" s="120"/>
      <c r="HR274" s="120"/>
      <c r="HS274" s="120"/>
      <c r="HT274" s="120"/>
      <c r="HU274" s="120"/>
      <c r="HV274" s="120"/>
      <c r="HW274" s="120"/>
      <c r="HX274" s="120"/>
      <c r="HY274" s="120"/>
      <c r="HZ274" s="120"/>
      <c r="IA274" s="120"/>
      <c r="IB274" s="120"/>
      <c r="IC274" s="120"/>
      <c r="ID274" s="120"/>
      <c r="IE274" s="120"/>
      <c r="IF274" s="120"/>
      <c r="IG274" s="120"/>
      <c r="IH274" s="120"/>
      <c r="II274" s="120"/>
      <c r="IJ274" s="120"/>
      <c r="IK274" s="120"/>
      <c r="IL274" s="120"/>
      <c r="IM274" s="120"/>
    </row>
    <row r="275" spans="2:247" ht="20.25" customHeight="1" x14ac:dyDescent="0.25">
      <c r="B275" s="127" t="s">
        <v>71</v>
      </c>
      <c r="C275" s="25" t="s">
        <v>66</v>
      </c>
      <c r="D275" s="26">
        <v>2472</v>
      </c>
      <c r="E275" s="24">
        <v>2876</v>
      </c>
      <c r="F275" s="75" t="str">
        <f>IF((E275/D275*100)&gt;100,"100",E275/D275*100)</f>
        <v>100</v>
      </c>
      <c r="G275" s="702"/>
      <c r="H275" s="717"/>
      <c r="I275" s="718"/>
      <c r="J275" s="718"/>
      <c r="K275" s="718"/>
      <c r="L275" s="718"/>
      <c r="M275" s="718"/>
      <c r="N275" s="718"/>
      <c r="O275" s="718"/>
      <c r="P275" s="718"/>
      <c r="Q275" s="718"/>
      <c r="R275" s="718"/>
      <c r="S275" s="718"/>
      <c r="T275" s="718"/>
      <c r="U275" s="718"/>
      <c r="V275" s="718"/>
      <c r="W275" s="718"/>
      <c r="X275" s="718"/>
      <c r="Y275" s="718"/>
      <c r="Z275" s="718"/>
      <c r="AA275" s="718"/>
      <c r="AB275" s="718"/>
      <c r="AC275" s="718"/>
      <c r="AD275" s="718"/>
      <c r="AE275" s="718"/>
      <c r="AF275" s="718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0"/>
      <c r="CH275" s="120"/>
      <c r="CI275" s="120"/>
      <c r="CJ275" s="120"/>
      <c r="CK275" s="120"/>
      <c r="CL275" s="120"/>
      <c r="CM275" s="120"/>
      <c r="CN275" s="120"/>
      <c r="CO275" s="120"/>
      <c r="CP275" s="120"/>
      <c r="CQ275" s="120"/>
      <c r="CR275" s="120"/>
      <c r="CS275" s="120"/>
      <c r="CT275" s="120"/>
      <c r="CU275" s="120"/>
      <c r="CV275" s="120"/>
      <c r="CW275" s="120"/>
      <c r="CX275" s="120"/>
      <c r="CY275" s="120"/>
      <c r="CZ275" s="120"/>
      <c r="DA275" s="120"/>
      <c r="DB275" s="120"/>
      <c r="DC275" s="120"/>
      <c r="DD275" s="120"/>
      <c r="DE275" s="120"/>
      <c r="DF275" s="120"/>
      <c r="DG275" s="120"/>
      <c r="DH275" s="120"/>
      <c r="DI275" s="120"/>
      <c r="DJ275" s="120"/>
      <c r="DK275" s="120"/>
      <c r="DL275" s="120"/>
      <c r="DM275" s="120"/>
      <c r="DN275" s="120"/>
      <c r="DO275" s="120"/>
      <c r="DP275" s="120"/>
      <c r="DQ275" s="120"/>
      <c r="DR275" s="120"/>
      <c r="DS275" s="120"/>
      <c r="DT275" s="120"/>
      <c r="DU275" s="120"/>
      <c r="DV275" s="120"/>
      <c r="DW275" s="120"/>
      <c r="DX275" s="120"/>
      <c r="DY275" s="120"/>
      <c r="DZ275" s="120"/>
      <c r="EA275" s="120"/>
      <c r="EB275" s="120"/>
      <c r="EC275" s="120"/>
      <c r="ED275" s="120"/>
      <c r="EE275" s="120"/>
      <c r="EF275" s="120"/>
      <c r="EG275" s="120"/>
      <c r="EH275" s="120"/>
      <c r="EI275" s="120"/>
      <c r="EJ275" s="120"/>
      <c r="EK275" s="120"/>
      <c r="EL275" s="120"/>
      <c r="EM275" s="120"/>
      <c r="EN275" s="120"/>
      <c r="EO275" s="120"/>
      <c r="EP275" s="120"/>
      <c r="EQ275" s="120"/>
      <c r="ER275" s="120"/>
      <c r="ES275" s="120"/>
      <c r="ET275" s="120"/>
      <c r="EU275" s="120"/>
      <c r="EV275" s="120"/>
      <c r="EW275" s="120"/>
      <c r="EX275" s="120"/>
      <c r="EY275" s="120"/>
      <c r="EZ275" s="120"/>
      <c r="FA275" s="120"/>
      <c r="FB275" s="120"/>
      <c r="FC275" s="120"/>
      <c r="FD275" s="120"/>
      <c r="FE275" s="120"/>
      <c r="FF275" s="120"/>
      <c r="FG275" s="120"/>
      <c r="FH275" s="120"/>
      <c r="FI275" s="120"/>
      <c r="FJ275" s="120"/>
      <c r="FK275" s="120"/>
      <c r="FL275" s="120"/>
      <c r="FM275" s="120"/>
      <c r="FN275" s="120"/>
      <c r="FO275" s="120"/>
      <c r="FP275" s="120"/>
      <c r="FQ275" s="120"/>
      <c r="FR275" s="120"/>
      <c r="FS275" s="120"/>
      <c r="FT275" s="120"/>
      <c r="FU275" s="120"/>
      <c r="FV275" s="120"/>
      <c r="FW275" s="120"/>
      <c r="FX275" s="120"/>
      <c r="FY275" s="120"/>
      <c r="FZ275" s="120"/>
      <c r="GA275" s="120"/>
      <c r="GB275" s="120"/>
      <c r="GC275" s="120"/>
      <c r="GD275" s="120"/>
      <c r="GE275" s="120"/>
      <c r="GF275" s="120"/>
      <c r="GG275" s="120"/>
      <c r="GH275" s="120"/>
      <c r="GI275" s="120"/>
      <c r="GJ275" s="120"/>
      <c r="GK275" s="120"/>
      <c r="GL275" s="120"/>
      <c r="GM275" s="120"/>
      <c r="GN275" s="120"/>
      <c r="GO275" s="120"/>
      <c r="GP275" s="120"/>
      <c r="GQ275" s="120"/>
      <c r="GR275" s="120"/>
      <c r="GS275" s="120"/>
      <c r="GT275" s="120"/>
      <c r="GU275" s="120"/>
      <c r="GV275" s="120"/>
      <c r="GW275" s="120"/>
      <c r="GX275" s="120"/>
      <c r="GY275" s="120"/>
      <c r="GZ275" s="120"/>
      <c r="HA275" s="120"/>
      <c r="HB275" s="120"/>
      <c r="HC275" s="120"/>
      <c r="HD275" s="120"/>
      <c r="HE275" s="120"/>
      <c r="HF275" s="120"/>
      <c r="HG275" s="120"/>
      <c r="HH275" s="120"/>
      <c r="HI275" s="120"/>
      <c r="HJ275" s="120"/>
      <c r="HK275" s="120"/>
      <c r="HL275" s="120"/>
      <c r="HM275" s="120"/>
      <c r="HN275" s="120"/>
      <c r="HO275" s="120"/>
      <c r="HP275" s="120"/>
      <c r="HQ275" s="120"/>
      <c r="HR275" s="120"/>
      <c r="HS275" s="120"/>
      <c r="HT275" s="120"/>
      <c r="HU275" s="120"/>
      <c r="HV275" s="120"/>
      <c r="HW275" s="120"/>
      <c r="HX275" s="120"/>
      <c r="HY275" s="120"/>
      <c r="HZ275" s="120"/>
      <c r="IA275" s="120"/>
      <c r="IB275" s="120"/>
      <c r="IC275" s="120"/>
      <c r="ID275" s="120"/>
      <c r="IE275" s="120"/>
      <c r="IF275" s="120"/>
      <c r="IG275" s="120"/>
      <c r="IH275" s="120"/>
      <c r="II275" s="120"/>
      <c r="IJ275" s="120"/>
      <c r="IK275" s="120"/>
      <c r="IL275" s="120"/>
      <c r="IM275" s="120"/>
    </row>
    <row r="276" spans="2:247" ht="47.25" x14ac:dyDescent="0.25">
      <c r="B276" s="83" t="s">
        <v>379</v>
      </c>
      <c r="C276" s="25" t="s">
        <v>72</v>
      </c>
      <c r="D276" s="26">
        <v>5</v>
      </c>
      <c r="E276" s="22">
        <v>5</v>
      </c>
      <c r="F276" s="75">
        <f>IF((E276/D276*100)&gt;100,"100",E276/D276*100)</f>
        <v>100</v>
      </c>
      <c r="G276" s="702"/>
      <c r="H276" s="717"/>
      <c r="I276" s="718"/>
      <c r="J276" s="718"/>
      <c r="K276" s="718"/>
      <c r="L276" s="718"/>
      <c r="M276" s="718"/>
      <c r="N276" s="718"/>
      <c r="O276" s="718"/>
      <c r="P276" s="718"/>
      <c r="Q276" s="718"/>
      <c r="R276" s="718"/>
      <c r="S276" s="718"/>
      <c r="T276" s="718"/>
      <c r="U276" s="718"/>
      <c r="V276" s="718"/>
      <c r="W276" s="718"/>
      <c r="X276" s="718"/>
      <c r="Y276" s="718"/>
      <c r="Z276" s="718"/>
      <c r="AA276" s="718"/>
      <c r="AB276" s="718"/>
      <c r="AC276" s="718"/>
      <c r="AD276" s="718"/>
      <c r="AE276" s="718"/>
      <c r="AF276" s="718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20"/>
      <c r="AV276" s="120"/>
      <c r="AW276" s="120"/>
      <c r="AX276" s="120"/>
      <c r="AY276" s="120"/>
      <c r="AZ276" s="120"/>
      <c r="BA276" s="120"/>
      <c r="BB276" s="120"/>
      <c r="BC276" s="120"/>
      <c r="BD276" s="120"/>
      <c r="BE276" s="120"/>
      <c r="BF276" s="120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20"/>
      <c r="BS276" s="120"/>
      <c r="BT276" s="120"/>
      <c r="BU276" s="120"/>
      <c r="BV276" s="120"/>
      <c r="BW276" s="120"/>
      <c r="BX276" s="120"/>
      <c r="BY276" s="120"/>
      <c r="BZ276" s="120"/>
      <c r="CA276" s="120"/>
      <c r="CB276" s="120"/>
      <c r="CC276" s="120"/>
      <c r="CD276" s="120"/>
      <c r="CE276" s="120"/>
      <c r="CF276" s="120"/>
      <c r="CG276" s="120"/>
      <c r="CH276" s="120"/>
      <c r="CI276" s="120"/>
      <c r="CJ276" s="120"/>
      <c r="CK276" s="120"/>
      <c r="CL276" s="120"/>
      <c r="CM276" s="120"/>
      <c r="CN276" s="120"/>
      <c r="CO276" s="120"/>
      <c r="CP276" s="120"/>
      <c r="CQ276" s="120"/>
      <c r="CR276" s="120"/>
      <c r="CS276" s="120"/>
      <c r="CT276" s="120"/>
      <c r="CU276" s="120"/>
      <c r="CV276" s="120"/>
      <c r="CW276" s="120"/>
      <c r="CX276" s="120"/>
      <c r="CY276" s="120"/>
      <c r="CZ276" s="120"/>
      <c r="DA276" s="120"/>
      <c r="DB276" s="120"/>
      <c r="DC276" s="120"/>
      <c r="DD276" s="120"/>
      <c r="DE276" s="120"/>
      <c r="DF276" s="120"/>
      <c r="DG276" s="120"/>
      <c r="DH276" s="120"/>
      <c r="DI276" s="120"/>
      <c r="DJ276" s="120"/>
      <c r="DK276" s="120"/>
      <c r="DL276" s="120"/>
      <c r="DM276" s="120"/>
      <c r="DN276" s="120"/>
      <c r="DO276" s="120"/>
      <c r="DP276" s="120"/>
      <c r="DQ276" s="120"/>
      <c r="DR276" s="120"/>
      <c r="DS276" s="120"/>
      <c r="DT276" s="120"/>
      <c r="DU276" s="120"/>
      <c r="DV276" s="120"/>
      <c r="DW276" s="120"/>
      <c r="DX276" s="120"/>
      <c r="DY276" s="120"/>
      <c r="DZ276" s="120"/>
      <c r="EA276" s="120"/>
      <c r="EB276" s="120"/>
      <c r="EC276" s="120"/>
      <c r="ED276" s="120"/>
      <c r="EE276" s="120"/>
      <c r="EF276" s="120"/>
      <c r="EG276" s="120"/>
      <c r="EH276" s="120"/>
      <c r="EI276" s="120"/>
      <c r="EJ276" s="120"/>
      <c r="EK276" s="120"/>
      <c r="EL276" s="120"/>
      <c r="EM276" s="120"/>
      <c r="EN276" s="120"/>
      <c r="EO276" s="120"/>
      <c r="EP276" s="120"/>
      <c r="EQ276" s="120"/>
      <c r="ER276" s="120"/>
      <c r="ES276" s="120"/>
      <c r="ET276" s="120"/>
      <c r="EU276" s="120"/>
      <c r="EV276" s="120"/>
      <c r="EW276" s="120"/>
      <c r="EX276" s="120"/>
      <c r="EY276" s="120"/>
      <c r="EZ276" s="120"/>
      <c r="FA276" s="120"/>
      <c r="FB276" s="120"/>
      <c r="FC276" s="120"/>
      <c r="FD276" s="120"/>
      <c r="FE276" s="120"/>
      <c r="FF276" s="120"/>
      <c r="FG276" s="120"/>
      <c r="FH276" s="120"/>
      <c r="FI276" s="120"/>
      <c r="FJ276" s="120"/>
      <c r="FK276" s="120"/>
      <c r="FL276" s="120"/>
      <c r="FM276" s="120"/>
      <c r="FN276" s="120"/>
      <c r="FO276" s="120"/>
      <c r="FP276" s="120"/>
      <c r="FQ276" s="120"/>
      <c r="FR276" s="120"/>
      <c r="FS276" s="120"/>
      <c r="FT276" s="120"/>
      <c r="FU276" s="120"/>
      <c r="FV276" s="120"/>
      <c r="FW276" s="120"/>
      <c r="FX276" s="120"/>
      <c r="FY276" s="120"/>
      <c r="FZ276" s="120"/>
      <c r="GA276" s="120"/>
      <c r="GB276" s="120"/>
      <c r="GC276" s="120"/>
      <c r="GD276" s="120"/>
      <c r="GE276" s="120"/>
      <c r="GF276" s="120"/>
      <c r="GG276" s="120"/>
      <c r="GH276" s="120"/>
      <c r="GI276" s="120"/>
      <c r="GJ276" s="120"/>
      <c r="GK276" s="120"/>
      <c r="GL276" s="120"/>
      <c r="GM276" s="120"/>
      <c r="GN276" s="120"/>
      <c r="GO276" s="120"/>
      <c r="GP276" s="120"/>
      <c r="GQ276" s="120"/>
      <c r="GR276" s="120"/>
      <c r="GS276" s="120"/>
      <c r="GT276" s="120"/>
      <c r="GU276" s="120"/>
      <c r="GV276" s="120"/>
      <c r="GW276" s="120"/>
      <c r="GX276" s="120"/>
      <c r="GY276" s="120"/>
      <c r="GZ276" s="120"/>
      <c r="HA276" s="120"/>
      <c r="HB276" s="120"/>
      <c r="HC276" s="120"/>
      <c r="HD276" s="120"/>
      <c r="HE276" s="120"/>
      <c r="HF276" s="120"/>
      <c r="HG276" s="120"/>
      <c r="HH276" s="120"/>
      <c r="HI276" s="120"/>
      <c r="HJ276" s="120"/>
      <c r="HK276" s="120"/>
      <c r="HL276" s="120"/>
      <c r="HM276" s="120"/>
      <c r="HN276" s="120"/>
      <c r="HO276" s="120"/>
      <c r="HP276" s="120"/>
      <c r="HQ276" s="120"/>
      <c r="HR276" s="120"/>
      <c r="HS276" s="120"/>
      <c r="HT276" s="120"/>
      <c r="HU276" s="120"/>
      <c r="HV276" s="120"/>
      <c r="HW276" s="120"/>
      <c r="HX276" s="120"/>
      <c r="HY276" s="120"/>
      <c r="HZ276" s="120"/>
      <c r="IA276" s="120"/>
      <c r="IB276" s="120"/>
      <c r="IC276" s="120"/>
      <c r="ID276" s="120"/>
      <c r="IE276" s="120"/>
      <c r="IF276" s="120"/>
      <c r="IG276" s="120"/>
      <c r="IH276" s="120"/>
      <c r="II276" s="120"/>
      <c r="IJ276" s="120"/>
      <c r="IK276" s="120"/>
      <c r="IL276" s="120"/>
      <c r="IM276" s="120"/>
    </row>
    <row r="277" spans="2:247" ht="34.5" customHeight="1" x14ac:dyDescent="0.25">
      <c r="B277" s="83" t="s">
        <v>73</v>
      </c>
      <c r="C277" s="25" t="s">
        <v>66</v>
      </c>
      <c r="D277" s="26">
        <v>50</v>
      </c>
      <c r="E277" s="22">
        <v>50</v>
      </c>
      <c r="F277" s="75">
        <f t="shared" ref="F277:F292" si="8">IF((E277/D277*100)&gt;100,"100",E277/D277*100)</f>
        <v>100</v>
      </c>
      <c r="G277" s="702"/>
      <c r="H277" s="717"/>
      <c r="I277" s="718"/>
      <c r="J277" s="718"/>
      <c r="K277" s="718"/>
      <c r="L277" s="718"/>
      <c r="M277" s="718"/>
      <c r="N277" s="718"/>
      <c r="O277" s="718"/>
      <c r="P277" s="718"/>
      <c r="Q277" s="718"/>
      <c r="R277" s="718"/>
      <c r="S277" s="718"/>
      <c r="T277" s="718"/>
      <c r="U277" s="718"/>
      <c r="V277" s="718"/>
      <c r="W277" s="718"/>
      <c r="X277" s="718"/>
      <c r="Y277" s="718"/>
      <c r="Z277" s="718"/>
      <c r="AA277" s="718"/>
      <c r="AB277" s="718"/>
      <c r="AC277" s="718"/>
      <c r="AD277" s="718"/>
      <c r="AE277" s="718"/>
      <c r="AF277" s="718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20"/>
      <c r="AV277" s="120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20"/>
      <c r="BS277" s="120"/>
      <c r="BT277" s="120"/>
      <c r="BU277" s="120"/>
      <c r="BV277" s="120"/>
      <c r="BW277" s="120"/>
      <c r="BX277" s="120"/>
      <c r="BY277" s="120"/>
      <c r="BZ277" s="120"/>
      <c r="CA277" s="120"/>
      <c r="CB277" s="120"/>
      <c r="CC277" s="120"/>
      <c r="CD277" s="120"/>
      <c r="CE277" s="120"/>
      <c r="CF277" s="120"/>
      <c r="CG277" s="120"/>
      <c r="CH277" s="120"/>
      <c r="CI277" s="120"/>
      <c r="CJ277" s="120"/>
      <c r="CK277" s="120"/>
      <c r="CL277" s="120"/>
      <c r="CM277" s="120"/>
      <c r="CN277" s="120"/>
      <c r="CO277" s="120"/>
      <c r="CP277" s="120"/>
      <c r="CQ277" s="120"/>
      <c r="CR277" s="120"/>
      <c r="CS277" s="120"/>
      <c r="CT277" s="120"/>
      <c r="CU277" s="120"/>
      <c r="CV277" s="120"/>
      <c r="CW277" s="120"/>
      <c r="CX277" s="120"/>
      <c r="CY277" s="120"/>
      <c r="CZ277" s="120"/>
      <c r="DA277" s="120"/>
      <c r="DB277" s="120"/>
      <c r="DC277" s="120"/>
      <c r="DD277" s="120"/>
      <c r="DE277" s="120"/>
      <c r="DF277" s="120"/>
      <c r="DG277" s="120"/>
      <c r="DH277" s="120"/>
      <c r="DI277" s="120"/>
      <c r="DJ277" s="120"/>
      <c r="DK277" s="120"/>
      <c r="DL277" s="120"/>
      <c r="DM277" s="120"/>
      <c r="DN277" s="120"/>
      <c r="DO277" s="120"/>
      <c r="DP277" s="120"/>
      <c r="DQ277" s="120"/>
      <c r="DR277" s="120"/>
      <c r="DS277" s="120"/>
      <c r="DT277" s="120"/>
      <c r="DU277" s="120"/>
      <c r="DV277" s="120"/>
      <c r="DW277" s="120"/>
      <c r="DX277" s="120"/>
      <c r="DY277" s="120"/>
      <c r="DZ277" s="120"/>
      <c r="EA277" s="120"/>
      <c r="EB277" s="120"/>
      <c r="EC277" s="120"/>
      <c r="ED277" s="120"/>
      <c r="EE277" s="120"/>
      <c r="EF277" s="120"/>
      <c r="EG277" s="120"/>
      <c r="EH277" s="120"/>
      <c r="EI277" s="120"/>
      <c r="EJ277" s="120"/>
      <c r="EK277" s="120"/>
      <c r="EL277" s="120"/>
      <c r="EM277" s="120"/>
      <c r="EN277" s="120"/>
      <c r="EO277" s="120"/>
      <c r="EP277" s="120"/>
      <c r="EQ277" s="120"/>
      <c r="ER277" s="120"/>
      <c r="ES277" s="120"/>
      <c r="ET277" s="120"/>
      <c r="EU277" s="120"/>
      <c r="EV277" s="120"/>
      <c r="EW277" s="120"/>
      <c r="EX277" s="120"/>
      <c r="EY277" s="120"/>
      <c r="EZ277" s="120"/>
      <c r="FA277" s="120"/>
      <c r="FB277" s="120"/>
      <c r="FC277" s="120"/>
      <c r="FD277" s="120"/>
      <c r="FE277" s="120"/>
      <c r="FF277" s="120"/>
      <c r="FG277" s="120"/>
      <c r="FH277" s="120"/>
      <c r="FI277" s="120"/>
      <c r="FJ277" s="120"/>
      <c r="FK277" s="120"/>
      <c r="FL277" s="120"/>
      <c r="FM277" s="120"/>
      <c r="FN277" s="120"/>
      <c r="FO277" s="120"/>
      <c r="FP277" s="120"/>
      <c r="FQ277" s="120"/>
      <c r="FR277" s="120"/>
      <c r="FS277" s="120"/>
      <c r="FT277" s="120"/>
      <c r="FU277" s="120"/>
      <c r="FV277" s="120"/>
      <c r="FW277" s="120"/>
      <c r="FX277" s="120"/>
      <c r="FY277" s="120"/>
      <c r="FZ277" s="120"/>
      <c r="GA277" s="120"/>
      <c r="GB277" s="120"/>
      <c r="GC277" s="120"/>
      <c r="GD277" s="120"/>
      <c r="GE277" s="120"/>
      <c r="GF277" s="120"/>
      <c r="GG277" s="120"/>
      <c r="GH277" s="120"/>
      <c r="GI277" s="120"/>
      <c r="GJ277" s="120"/>
      <c r="GK277" s="120"/>
      <c r="GL277" s="120"/>
      <c r="GM277" s="120"/>
      <c r="GN277" s="120"/>
      <c r="GO277" s="120"/>
      <c r="GP277" s="120"/>
      <c r="GQ277" s="120"/>
      <c r="GR277" s="120"/>
      <c r="GS277" s="120"/>
      <c r="GT277" s="120"/>
      <c r="GU277" s="120"/>
      <c r="GV277" s="120"/>
      <c r="GW277" s="120"/>
      <c r="GX277" s="120"/>
      <c r="GY277" s="120"/>
      <c r="GZ277" s="120"/>
      <c r="HA277" s="120"/>
      <c r="HB277" s="120"/>
      <c r="HC277" s="120"/>
      <c r="HD277" s="120"/>
      <c r="HE277" s="120"/>
      <c r="HF277" s="120"/>
      <c r="HG277" s="120"/>
      <c r="HH277" s="120"/>
      <c r="HI277" s="120"/>
      <c r="HJ277" s="120"/>
      <c r="HK277" s="120"/>
      <c r="HL277" s="120"/>
      <c r="HM277" s="120"/>
      <c r="HN277" s="120"/>
      <c r="HO277" s="120"/>
      <c r="HP277" s="120"/>
      <c r="HQ277" s="120"/>
      <c r="HR277" s="120"/>
      <c r="HS277" s="120"/>
      <c r="HT277" s="120"/>
      <c r="HU277" s="120"/>
      <c r="HV277" s="120"/>
      <c r="HW277" s="120"/>
      <c r="HX277" s="120"/>
      <c r="HY277" s="120"/>
      <c r="HZ277" s="120"/>
      <c r="IA277" s="120"/>
      <c r="IB277" s="120"/>
      <c r="IC277" s="120"/>
      <c r="ID277" s="120"/>
      <c r="IE277" s="120"/>
      <c r="IF277" s="120"/>
      <c r="IG277" s="120"/>
      <c r="IH277" s="120"/>
      <c r="II277" s="120"/>
      <c r="IJ277" s="120"/>
      <c r="IK277" s="120"/>
      <c r="IL277" s="120"/>
      <c r="IM277" s="120"/>
    </row>
    <row r="278" spans="2:247" x14ac:dyDescent="0.25">
      <c r="B278" s="824" t="s">
        <v>74</v>
      </c>
      <c r="C278" s="824"/>
      <c r="D278" s="824"/>
      <c r="E278" s="824"/>
      <c r="F278" s="824"/>
      <c r="G278" s="702"/>
      <c r="H278" s="717"/>
      <c r="I278" s="718"/>
      <c r="J278" s="718"/>
      <c r="K278" s="718"/>
      <c r="L278" s="718"/>
      <c r="M278" s="718"/>
      <c r="N278" s="718"/>
      <c r="O278" s="718"/>
      <c r="P278" s="718"/>
      <c r="Q278" s="718"/>
      <c r="R278" s="718"/>
      <c r="S278" s="718"/>
      <c r="T278" s="718"/>
      <c r="U278" s="718"/>
      <c r="V278" s="718"/>
      <c r="W278" s="718"/>
      <c r="X278" s="718"/>
      <c r="Y278" s="718"/>
      <c r="Z278" s="718"/>
      <c r="AA278" s="718"/>
      <c r="AB278" s="718"/>
      <c r="AC278" s="718"/>
      <c r="AD278" s="718"/>
      <c r="AE278" s="718"/>
      <c r="AF278" s="718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20"/>
      <c r="AV278" s="120"/>
      <c r="AW278" s="120"/>
      <c r="AX278" s="120"/>
      <c r="AY278" s="120"/>
      <c r="AZ278" s="120"/>
      <c r="BA278" s="120"/>
      <c r="BB278" s="120"/>
      <c r="BC278" s="120"/>
      <c r="BD278" s="120"/>
      <c r="BE278" s="120"/>
      <c r="BF278" s="120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20"/>
      <c r="BS278" s="120"/>
      <c r="BT278" s="120"/>
      <c r="BU278" s="120"/>
      <c r="BV278" s="120"/>
      <c r="BW278" s="120"/>
      <c r="BX278" s="120"/>
      <c r="BY278" s="120"/>
      <c r="BZ278" s="120"/>
      <c r="CA278" s="120"/>
      <c r="CB278" s="120"/>
      <c r="CC278" s="120"/>
      <c r="CD278" s="120"/>
      <c r="CE278" s="120"/>
      <c r="CF278" s="120"/>
      <c r="CG278" s="120"/>
      <c r="CH278" s="120"/>
      <c r="CI278" s="120"/>
      <c r="CJ278" s="120"/>
      <c r="CK278" s="120"/>
      <c r="CL278" s="120"/>
      <c r="CM278" s="120"/>
      <c r="CN278" s="120"/>
      <c r="CO278" s="120"/>
      <c r="CP278" s="120"/>
      <c r="CQ278" s="120"/>
      <c r="CR278" s="120"/>
      <c r="CS278" s="120"/>
      <c r="CT278" s="120"/>
      <c r="CU278" s="120"/>
      <c r="CV278" s="120"/>
      <c r="CW278" s="120"/>
      <c r="CX278" s="120"/>
      <c r="CY278" s="120"/>
      <c r="CZ278" s="120"/>
      <c r="DA278" s="120"/>
      <c r="DB278" s="120"/>
      <c r="DC278" s="120"/>
      <c r="DD278" s="120"/>
      <c r="DE278" s="120"/>
      <c r="DF278" s="120"/>
      <c r="DG278" s="120"/>
      <c r="DH278" s="120"/>
      <c r="DI278" s="120"/>
      <c r="DJ278" s="120"/>
      <c r="DK278" s="120"/>
      <c r="DL278" s="120"/>
      <c r="DM278" s="120"/>
      <c r="DN278" s="120"/>
      <c r="DO278" s="120"/>
      <c r="DP278" s="120"/>
      <c r="DQ278" s="120"/>
      <c r="DR278" s="120"/>
      <c r="DS278" s="120"/>
      <c r="DT278" s="120"/>
      <c r="DU278" s="120"/>
      <c r="DV278" s="120"/>
      <c r="DW278" s="120"/>
      <c r="DX278" s="120"/>
      <c r="DY278" s="120"/>
      <c r="DZ278" s="120"/>
      <c r="EA278" s="120"/>
      <c r="EB278" s="120"/>
      <c r="EC278" s="120"/>
      <c r="ED278" s="120"/>
      <c r="EE278" s="120"/>
      <c r="EF278" s="120"/>
      <c r="EG278" s="120"/>
      <c r="EH278" s="120"/>
      <c r="EI278" s="120"/>
      <c r="EJ278" s="120"/>
      <c r="EK278" s="120"/>
      <c r="EL278" s="120"/>
      <c r="EM278" s="120"/>
      <c r="EN278" s="120"/>
      <c r="EO278" s="120"/>
      <c r="EP278" s="120"/>
      <c r="EQ278" s="120"/>
      <c r="ER278" s="120"/>
      <c r="ES278" s="120"/>
      <c r="ET278" s="120"/>
      <c r="EU278" s="120"/>
      <c r="EV278" s="120"/>
      <c r="EW278" s="120"/>
      <c r="EX278" s="120"/>
      <c r="EY278" s="120"/>
      <c r="EZ278" s="120"/>
      <c r="FA278" s="120"/>
      <c r="FB278" s="120"/>
      <c r="FC278" s="120"/>
      <c r="FD278" s="120"/>
      <c r="FE278" s="120"/>
      <c r="FF278" s="120"/>
      <c r="FG278" s="120"/>
      <c r="FH278" s="120"/>
      <c r="FI278" s="120"/>
      <c r="FJ278" s="120"/>
      <c r="FK278" s="120"/>
      <c r="FL278" s="120"/>
      <c r="FM278" s="120"/>
      <c r="FN278" s="120"/>
      <c r="FO278" s="120"/>
      <c r="FP278" s="120"/>
      <c r="FQ278" s="120"/>
      <c r="FR278" s="120"/>
      <c r="FS278" s="120"/>
      <c r="FT278" s="120"/>
      <c r="FU278" s="120"/>
      <c r="FV278" s="120"/>
      <c r="FW278" s="120"/>
      <c r="FX278" s="120"/>
      <c r="FY278" s="120"/>
      <c r="FZ278" s="120"/>
      <c r="GA278" s="120"/>
      <c r="GB278" s="120"/>
      <c r="GC278" s="120"/>
      <c r="GD278" s="120"/>
      <c r="GE278" s="120"/>
      <c r="GF278" s="120"/>
      <c r="GG278" s="120"/>
      <c r="GH278" s="120"/>
      <c r="GI278" s="120"/>
      <c r="GJ278" s="120"/>
      <c r="GK278" s="120"/>
      <c r="GL278" s="120"/>
      <c r="GM278" s="120"/>
      <c r="GN278" s="120"/>
      <c r="GO278" s="120"/>
      <c r="GP278" s="120"/>
      <c r="GQ278" s="120"/>
      <c r="GR278" s="120"/>
      <c r="GS278" s="120"/>
      <c r="GT278" s="120"/>
      <c r="GU278" s="120"/>
      <c r="GV278" s="120"/>
      <c r="GW278" s="120"/>
      <c r="GX278" s="120"/>
      <c r="GY278" s="120"/>
      <c r="GZ278" s="120"/>
      <c r="HA278" s="120"/>
      <c r="HB278" s="120"/>
      <c r="HC278" s="120"/>
      <c r="HD278" s="120"/>
      <c r="HE278" s="120"/>
      <c r="HF278" s="120"/>
      <c r="HG278" s="120"/>
      <c r="HH278" s="120"/>
      <c r="HI278" s="120"/>
      <c r="HJ278" s="120"/>
      <c r="HK278" s="120"/>
      <c r="HL278" s="120"/>
      <c r="HM278" s="120"/>
      <c r="HN278" s="120"/>
      <c r="HO278" s="120"/>
      <c r="HP278" s="120"/>
      <c r="HQ278" s="120"/>
      <c r="HR278" s="120"/>
      <c r="HS278" s="120"/>
      <c r="HT278" s="120"/>
      <c r="HU278" s="120"/>
      <c r="HV278" s="120"/>
      <c r="HW278" s="120"/>
      <c r="HX278" s="120"/>
      <c r="HY278" s="120"/>
      <c r="HZ278" s="120"/>
      <c r="IA278" s="120"/>
      <c r="IB278" s="120"/>
      <c r="IC278" s="120"/>
      <c r="ID278" s="120"/>
      <c r="IE278" s="120"/>
      <c r="IF278" s="120"/>
      <c r="IG278" s="120"/>
      <c r="IH278" s="120"/>
      <c r="II278" s="120"/>
      <c r="IJ278" s="120"/>
      <c r="IK278" s="120"/>
      <c r="IL278" s="120"/>
      <c r="IM278" s="120"/>
    </row>
    <row r="279" spans="2:247" ht="18" customHeight="1" x14ac:dyDescent="0.25">
      <c r="B279" s="69" t="s">
        <v>75</v>
      </c>
      <c r="C279" s="22" t="s">
        <v>52</v>
      </c>
      <c r="D279" s="22">
        <v>63.45</v>
      </c>
      <c r="E279" s="128">
        <v>65.599999999999994</v>
      </c>
      <c r="F279" s="75" t="str">
        <f t="shared" si="8"/>
        <v>100</v>
      </c>
      <c r="G279" s="702"/>
      <c r="H279" s="717"/>
      <c r="I279" s="718"/>
      <c r="J279" s="718"/>
      <c r="K279" s="718"/>
      <c r="L279" s="718"/>
      <c r="M279" s="718"/>
      <c r="N279" s="718"/>
      <c r="O279" s="718"/>
      <c r="P279" s="718"/>
      <c r="Q279" s="718"/>
      <c r="R279" s="718"/>
      <c r="S279" s="718"/>
      <c r="T279" s="718"/>
      <c r="U279" s="718"/>
      <c r="V279" s="718"/>
      <c r="W279" s="718"/>
      <c r="X279" s="718"/>
      <c r="Y279" s="718"/>
      <c r="Z279" s="718"/>
      <c r="AA279" s="718"/>
      <c r="AB279" s="718"/>
      <c r="AC279" s="718"/>
      <c r="AD279" s="718"/>
      <c r="AE279" s="718"/>
      <c r="AF279" s="718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20"/>
      <c r="AV279" s="120"/>
      <c r="AW279" s="120"/>
      <c r="AX279" s="120"/>
      <c r="AY279" s="120"/>
      <c r="AZ279" s="120"/>
      <c r="BA279" s="120"/>
      <c r="BB279" s="120"/>
      <c r="BC279" s="120"/>
      <c r="BD279" s="120"/>
      <c r="BE279" s="120"/>
      <c r="BF279" s="120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20"/>
      <c r="BS279" s="120"/>
      <c r="BT279" s="120"/>
      <c r="BU279" s="120"/>
      <c r="BV279" s="120"/>
      <c r="BW279" s="120"/>
      <c r="BX279" s="120"/>
      <c r="BY279" s="120"/>
      <c r="BZ279" s="120"/>
      <c r="CA279" s="120"/>
      <c r="CB279" s="120"/>
      <c r="CC279" s="120"/>
      <c r="CD279" s="120"/>
      <c r="CE279" s="120"/>
      <c r="CF279" s="120"/>
      <c r="CG279" s="120"/>
      <c r="CH279" s="120"/>
      <c r="CI279" s="120"/>
      <c r="CJ279" s="120"/>
      <c r="CK279" s="120"/>
      <c r="CL279" s="120"/>
      <c r="CM279" s="120"/>
      <c r="CN279" s="120"/>
      <c r="CO279" s="120"/>
      <c r="CP279" s="120"/>
      <c r="CQ279" s="120"/>
      <c r="CR279" s="120"/>
      <c r="CS279" s="120"/>
      <c r="CT279" s="120"/>
      <c r="CU279" s="120"/>
      <c r="CV279" s="120"/>
      <c r="CW279" s="120"/>
      <c r="CX279" s="120"/>
      <c r="CY279" s="120"/>
      <c r="CZ279" s="120"/>
      <c r="DA279" s="120"/>
      <c r="DB279" s="120"/>
      <c r="DC279" s="120"/>
      <c r="DD279" s="120"/>
      <c r="DE279" s="120"/>
      <c r="DF279" s="120"/>
      <c r="DG279" s="120"/>
      <c r="DH279" s="120"/>
      <c r="DI279" s="120"/>
      <c r="DJ279" s="120"/>
      <c r="DK279" s="120"/>
      <c r="DL279" s="120"/>
      <c r="DM279" s="120"/>
      <c r="DN279" s="120"/>
      <c r="DO279" s="120"/>
      <c r="DP279" s="120"/>
      <c r="DQ279" s="120"/>
      <c r="DR279" s="120"/>
      <c r="DS279" s="120"/>
      <c r="DT279" s="120"/>
      <c r="DU279" s="120"/>
      <c r="DV279" s="120"/>
      <c r="DW279" s="120"/>
      <c r="DX279" s="120"/>
      <c r="DY279" s="120"/>
      <c r="DZ279" s="120"/>
      <c r="EA279" s="120"/>
      <c r="EB279" s="120"/>
      <c r="EC279" s="120"/>
      <c r="ED279" s="120"/>
      <c r="EE279" s="120"/>
      <c r="EF279" s="120"/>
      <c r="EG279" s="120"/>
      <c r="EH279" s="120"/>
      <c r="EI279" s="120"/>
      <c r="EJ279" s="120"/>
      <c r="EK279" s="120"/>
      <c r="EL279" s="120"/>
      <c r="EM279" s="120"/>
      <c r="EN279" s="120"/>
      <c r="EO279" s="120"/>
      <c r="EP279" s="120"/>
      <c r="EQ279" s="120"/>
      <c r="ER279" s="120"/>
      <c r="ES279" s="120"/>
      <c r="ET279" s="120"/>
      <c r="EU279" s="120"/>
      <c r="EV279" s="120"/>
      <c r="EW279" s="120"/>
      <c r="EX279" s="120"/>
      <c r="EY279" s="120"/>
      <c r="EZ279" s="120"/>
      <c r="FA279" s="120"/>
      <c r="FB279" s="120"/>
      <c r="FC279" s="120"/>
      <c r="FD279" s="120"/>
      <c r="FE279" s="120"/>
      <c r="FF279" s="120"/>
      <c r="FG279" s="120"/>
      <c r="FH279" s="120"/>
      <c r="FI279" s="120"/>
      <c r="FJ279" s="120"/>
      <c r="FK279" s="120"/>
      <c r="FL279" s="120"/>
      <c r="FM279" s="120"/>
      <c r="FN279" s="120"/>
      <c r="FO279" s="120"/>
      <c r="FP279" s="120"/>
      <c r="FQ279" s="120"/>
      <c r="FR279" s="120"/>
      <c r="FS279" s="120"/>
      <c r="FT279" s="120"/>
      <c r="FU279" s="120"/>
      <c r="FV279" s="120"/>
      <c r="FW279" s="120"/>
      <c r="FX279" s="120"/>
      <c r="FY279" s="120"/>
      <c r="FZ279" s="120"/>
      <c r="GA279" s="120"/>
      <c r="GB279" s="120"/>
      <c r="GC279" s="120"/>
      <c r="GD279" s="120"/>
      <c r="GE279" s="120"/>
      <c r="GF279" s="120"/>
      <c r="GG279" s="120"/>
      <c r="GH279" s="120"/>
      <c r="GI279" s="120"/>
      <c r="GJ279" s="120"/>
      <c r="GK279" s="120"/>
      <c r="GL279" s="120"/>
      <c r="GM279" s="120"/>
      <c r="GN279" s="120"/>
      <c r="GO279" s="120"/>
      <c r="GP279" s="120"/>
      <c r="GQ279" s="120"/>
      <c r="GR279" s="120"/>
      <c r="GS279" s="120"/>
      <c r="GT279" s="120"/>
      <c r="GU279" s="120"/>
      <c r="GV279" s="120"/>
      <c r="GW279" s="120"/>
      <c r="GX279" s="120"/>
      <c r="GY279" s="120"/>
      <c r="GZ279" s="120"/>
      <c r="HA279" s="120"/>
      <c r="HB279" s="120"/>
      <c r="HC279" s="120"/>
      <c r="HD279" s="120"/>
      <c r="HE279" s="120"/>
      <c r="HF279" s="120"/>
      <c r="HG279" s="120"/>
      <c r="HH279" s="120"/>
      <c r="HI279" s="120"/>
      <c r="HJ279" s="120"/>
      <c r="HK279" s="120"/>
      <c r="HL279" s="120"/>
      <c r="HM279" s="120"/>
      <c r="HN279" s="120"/>
      <c r="HO279" s="120"/>
      <c r="HP279" s="120"/>
      <c r="HQ279" s="120"/>
      <c r="HR279" s="120"/>
      <c r="HS279" s="120"/>
      <c r="HT279" s="120"/>
      <c r="HU279" s="120"/>
      <c r="HV279" s="120"/>
      <c r="HW279" s="120"/>
      <c r="HX279" s="120"/>
      <c r="HY279" s="120"/>
      <c r="HZ279" s="120"/>
      <c r="IA279" s="120"/>
      <c r="IB279" s="120"/>
      <c r="IC279" s="120"/>
      <c r="ID279" s="120"/>
      <c r="IE279" s="120"/>
      <c r="IF279" s="120"/>
      <c r="IG279" s="120"/>
      <c r="IH279" s="120"/>
      <c r="II279" s="120"/>
      <c r="IJ279" s="120"/>
      <c r="IK279" s="120"/>
      <c r="IL279" s="120"/>
      <c r="IM279" s="120"/>
    </row>
    <row r="280" spans="2:247" ht="49.5" customHeight="1" x14ac:dyDescent="0.25">
      <c r="B280" s="129" t="s">
        <v>76</v>
      </c>
      <c r="C280" s="25" t="s">
        <v>77</v>
      </c>
      <c r="D280" s="25">
        <v>8.8870000000000005</v>
      </c>
      <c r="E280" s="22">
        <v>9</v>
      </c>
      <c r="F280" s="75" t="str">
        <f t="shared" si="8"/>
        <v>100</v>
      </c>
      <c r="G280" s="702"/>
      <c r="H280" s="717"/>
      <c r="I280" s="718"/>
      <c r="J280" s="718"/>
      <c r="K280" s="718"/>
      <c r="L280" s="718"/>
      <c r="M280" s="718"/>
      <c r="N280" s="718"/>
      <c r="O280" s="718"/>
      <c r="P280" s="718"/>
      <c r="Q280" s="718"/>
      <c r="R280" s="718"/>
      <c r="S280" s="718"/>
      <c r="T280" s="718"/>
      <c r="U280" s="718"/>
      <c r="V280" s="718"/>
      <c r="W280" s="718"/>
      <c r="X280" s="718"/>
      <c r="Y280" s="718"/>
      <c r="Z280" s="718"/>
      <c r="AA280" s="718"/>
      <c r="AB280" s="718"/>
      <c r="AC280" s="718"/>
      <c r="AD280" s="718"/>
      <c r="AE280" s="718"/>
      <c r="AF280" s="718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20"/>
      <c r="AV280" s="120"/>
      <c r="AW280" s="120"/>
      <c r="AX280" s="120"/>
      <c r="AY280" s="120"/>
      <c r="AZ280" s="120"/>
      <c r="BA280" s="120"/>
      <c r="BB280" s="120"/>
      <c r="BC280" s="120"/>
      <c r="BD280" s="120"/>
      <c r="BE280" s="120"/>
      <c r="BF280" s="120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20"/>
      <c r="BS280" s="120"/>
      <c r="BT280" s="120"/>
      <c r="BU280" s="120"/>
      <c r="BV280" s="120"/>
      <c r="BW280" s="120"/>
      <c r="BX280" s="120"/>
      <c r="BY280" s="120"/>
      <c r="BZ280" s="120"/>
      <c r="CA280" s="120"/>
      <c r="CB280" s="120"/>
      <c r="CC280" s="120"/>
      <c r="CD280" s="120"/>
      <c r="CE280" s="120"/>
      <c r="CF280" s="120"/>
      <c r="CG280" s="120"/>
      <c r="CH280" s="120"/>
      <c r="CI280" s="120"/>
      <c r="CJ280" s="120"/>
      <c r="CK280" s="120"/>
      <c r="CL280" s="120"/>
      <c r="CM280" s="120"/>
      <c r="CN280" s="120"/>
      <c r="CO280" s="120"/>
      <c r="CP280" s="120"/>
      <c r="CQ280" s="120"/>
      <c r="CR280" s="120"/>
      <c r="CS280" s="120"/>
      <c r="CT280" s="120"/>
      <c r="CU280" s="120"/>
      <c r="CV280" s="120"/>
      <c r="CW280" s="120"/>
      <c r="CX280" s="120"/>
      <c r="CY280" s="120"/>
      <c r="CZ280" s="120"/>
      <c r="DA280" s="120"/>
      <c r="DB280" s="120"/>
      <c r="DC280" s="120"/>
      <c r="DD280" s="120"/>
      <c r="DE280" s="120"/>
      <c r="DF280" s="120"/>
      <c r="DG280" s="120"/>
      <c r="DH280" s="120"/>
      <c r="DI280" s="120"/>
      <c r="DJ280" s="120"/>
      <c r="DK280" s="120"/>
      <c r="DL280" s="120"/>
      <c r="DM280" s="120"/>
      <c r="DN280" s="120"/>
      <c r="DO280" s="120"/>
      <c r="DP280" s="120"/>
      <c r="DQ280" s="120"/>
      <c r="DR280" s="120"/>
      <c r="DS280" s="120"/>
      <c r="DT280" s="120"/>
      <c r="DU280" s="120"/>
      <c r="DV280" s="120"/>
      <c r="DW280" s="120"/>
      <c r="DX280" s="120"/>
      <c r="DY280" s="120"/>
      <c r="DZ280" s="120"/>
      <c r="EA280" s="120"/>
      <c r="EB280" s="120"/>
      <c r="EC280" s="120"/>
      <c r="ED280" s="120"/>
      <c r="EE280" s="120"/>
      <c r="EF280" s="120"/>
      <c r="EG280" s="120"/>
      <c r="EH280" s="120"/>
      <c r="EI280" s="120"/>
      <c r="EJ280" s="120"/>
      <c r="EK280" s="120"/>
      <c r="EL280" s="120"/>
      <c r="EM280" s="120"/>
      <c r="EN280" s="120"/>
      <c r="EO280" s="120"/>
      <c r="EP280" s="120"/>
      <c r="EQ280" s="120"/>
      <c r="ER280" s="120"/>
      <c r="ES280" s="120"/>
      <c r="ET280" s="120"/>
      <c r="EU280" s="120"/>
      <c r="EV280" s="120"/>
      <c r="EW280" s="120"/>
      <c r="EX280" s="120"/>
      <c r="EY280" s="120"/>
      <c r="EZ280" s="120"/>
      <c r="FA280" s="120"/>
      <c r="FB280" s="120"/>
      <c r="FC280" s="120"/>
      <c r="FD280" s="120"/>
      <c r="FE280" s="120"/>
      <c r="FF280" s="120"/>
      <c r="FG280" s="120"/>
      <c r="FH280" s="120"/>
      <c r="FI280" s="120"/>
      <c r="FJ280" s="120"/>
      <c r="FK280" s="120"/>
      <c r="FL280" s="120"/>
      <c r="FM280" s="120"/>
      <c r="FN280" s="120"/>
      <c r="FO280" s="120"/>
      <c r="FP280" s="120"/>
      <c r="FQ280" s="120"/>
      <c r="FR280" s="120"/>
      <c r="FS280" s="120"/>
      <c r="FT280" s="120"/>
      <c r="FU280" s="120"/>
      <c r="FV280" s="120"/>
      <c r="FW280" s="120"/>
      <c r="FX280" s="120"/>
      <c r="FY280" s="120"/>
      <c r="FZ280" s="120"/>
      <c r="GA280" s="120"/>
      <c r="GB280" s="120"/>
      <c r="GC280" s="120"/>
      <c r="GD280" s="120"/>
      <c r="GE280" s="120"/>
      <c r="GF280" s="120"/>
      <c r="GG280" s="120"/>
      <c r="GH280" s="120"/>
      <c r="GI280" s="120"/>
      <c r="GJ280" s="120"/>
      <c r="GK280" s="120"/>
      <c r="GL280" s="120"/>
      <c r="GM280" s="120"/>
      <c r="GN280" s="120"/>
      <c r="GO280" s="120"/>
      <c r="GP280" s="120"/>
      <c r="GQ280" s="120"/>
      <c r="GR280" s="120"/>
      <c r="GS280" s="120"/>
      <c r="GT280" s="120"/>
      <c r="GU280" s="120"/>
      <c r="GV280" s="120"/>
      <c r="GW280" s="120"/>
      <c r="GX280" s="120"/>
      <c r="GY280" s="120"/>
      <c r="GZ280" s="120"/>
      <c r="HA280" s="120"/>
      <c r="HB280" s="120"/>
      <c r="HC280" s="120"/>
      <c r="HD280" s="120"/>
      <c r="HE280" s="120"/>
      <c r="HF280" s="120"/>
      <c r="HG280" s="120"/>
      <c r="HH280" s="120"/>
      <c r="HI280" s="120"/>
      <c r="HJ280" s="120"/>
      <c r="HK280" s="120"/>
      <c r="HL280" s="120"/>
      <c r="HM280" s="120"/>
      <c r="HN280" s="120"/>
      <c r="HO280" s="120"/>
      <c r="HP280" s="120"/>
      <c r="HQ280" s="120"/>
      <c r="HR280" s="120"/>
      <c r="HS280" s="120"/>
      <c r="HT280" s="120"/>
      <c r="HU280" s="120"/>
      <c r="HV280" s="120"/>
      <c r="HW280" s="120"/>
      <c r="HX280" s="120"/>
      <c r="HY280" s="120"/>
      <c r="HZ280" s="120"/>
      <c r="IA280" s="120"/>
      <c r="IB280" s="120"/>
      <c r="IC280" s="120"/>
      <c r="ID280" s="120"/>
      <c r="IE280" s="120"/>
      <c r="IF280" s="120"/>
      <c r="IG280" s="120"/>
      <c r="IH280" s="120"/>
      <c r="II280" s="120"/>
      <c r="IJ280" s="120"/>
      <c r="IK280" s="120"/>
      <c r="IL280" s="120"/>
      <c r="IM280" s="120"/>
    </row>
    <row r="281" spans="2:247" x14ac:dyDescent="0.25">
      <c r="B281" s="129" t="s">
        <v>78</v>
      </c>
      <c r="C281" s="258" t="s">
        <v>52</v>
      </c>
      <c r="D281" s="258">
        <v>3.5</v>
      </c>
      <c r="E281" s="130">
        <v>3</v>
      </c>
      <c r="F281" s="75">
        <f t="shared" si="8"/>
        <v>85.714285714285708</v>
      </c>
      <c r="G281" s="702"/>
      <c r="H281" s="717"/>
      <c r="I281" s="718"/>
      <c r="J281" s="718"/>
      <c r="K281" s="718"/>
      <c r="L281" s="718"/>
      <c r="M281" s="718"/>
      <c r="N281" s="718"/>
      <c r="O281" s="718"/>
      <c r="P281" s="718"/>
      <c r="Q281" s="718"/>
      <c r="R281" s="718"/>
      <c r="S281" s="718"/>
      <c r="T281" s="718"/>
      <c r="U281" s="718"/>
      <c r="V281" s="718"/>
      <c r="W281" s="718"/>
      <c r="X281" s="718"/>
      <c r="Y281" s="718"/>
      <c r="Z281" s="718"/>
      <c r="AA281" s="718"/>
      <c r="AB281" s="718"/>
      <c r="AC281" s="718"/>
      <c r="AD281" s="718"/>
      <c r="AE281" s="718"/>
      <c r="AF281" s="718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20"/>
      <c r="AV281" s="120"/>
      <c r="AW281" s="120"/>
      <c r="AX281" s="120"/>
      <c r="AY281" s="120"/>
      <c r="AZ281" s="120"/>
      <c r="BA281" s="120"/>
      <c r="BB281" s="120"/>
      <c r="BC281" s="120"/>
      <c r="BD281" s="120"/>
      <c r="BE281" s="120"/>
      <c r="BF281" s="120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20"/>
      <c r="BS281" s="120"/>
      <c r="BT281" s="120"/>
      <c r="BU281" s="120"/>
      <c r="BV281" s="120"/>
      <c r="BW281" s="120"/>
      <c r="BX281" s="120"/>
      <c r="BY281" s="120"/>
      <c r="BZ281" s="120"/>
      <c r="CA281" s="120"/>
      <c r="CB281" s="120"/>
      <c r="CC281" s="120"/>
      <c r="CD281" s="120"/>
      <c r="CE281" s="120"/>
      <c r="CF281" s="120"/>
      <c r="CG281" s="120"/>
      <c r="CH281" s="120"/>
      <c r="CI281" s="120"/>
      <c r="CJ281" s="120"/>
      <c r="CK281" s="120"/>
      <c r="CL281" s="120"/>
      <c r="CM281" s="120"/>
      <c r="CN281" s="120"/>
      <c r="CO281" s="120"/>
      <c r="CP281" s="120"/>
      <c r="CQ281" s="120"/>
      <c r="CR281" s="120"/>
      <c r="CS281" s="120"/>
      <c r="CT281" s="120"/>
      <c r="CU281" s="120"/>
      <c r="CV281" s="120"/>
      <c r="CW281" s="120"/>
      <c r="CX281" s="120"/>
      <c r="CY281" s="120"/>
      <c r="CZ281" s="120"/>
      <c r="DA281" s="120"/>
      <c r="DB281" s="120"/>
      <c r="DC281" s="120"/>
      <c r="DD281" s="120"/>
      <c r="DE281" s="120"/>
      <c r="DF281" s="120"/>
      <c r="DG281" s="120"/>
      <c r="DH281" s="120"/>
      <c r="DI281" s="120"/>
      <c r="DJ281" s="120"/>
      <c r="DK281" s="120"/>
      <c r="DL281" s="120"/>
      <c r="DM281" s="120"/>
      <c r="DN281" s="120"/>
      <c r="DO281" s="120"/>
      <c r="DP281" s="120"/>
      <c r="DQ281" s="120"/>
      <c r="DR281" s="120"/>
      <c r="DS281" s="120"/>
      <c r="DT281" s="120"/>
      <c r="DU281" s="120"/>
      <c r="DV281" s="120"/>
      <c r="DW281" s="120"/>
      <c r="DX281" s="120"/>
      <c r="DY281" s="120"/>
      <c r="DZ281" s="120"/>
      <c r="EA281" s="120"/>
      <c r="EB281" s="120"/>
      <c r="EC281" s="120"/>
      <c r="ED281" s="120"/>
      <c r="EE281" s="120"/>
      <c r="EF281" s="120"/>
      <c r="EG281" s="120"/>
      <c r="EH281" s="120"/>
      <c r="EI281" s="120"/>
      <c r="EJ281" s="120"/>
      <c r="EK281" s="120"/>
      <c r="EL281" s="120"/>
      <c r="EM281" s="120"/>
      <c r="EN281" s="120"/>
      <c r="EO281" s="120"/>
      <c r="EP281" s="120"/>
      <c r="EQ281" s="120"/>
      <c r="ER281" s="120"/>
      <c r="ES281" s="120"/>
      <c r="ET281" s="120"/>
      <c r="EU281" s="120"/>
      <c r="EV281" s="120"/>
      <c r="EW281" s="120"/>
      <c r="EX281" s="120"/>
      <c r="EY281" s="120"/>
      <c r="EZ281" s="120"/>
      <c r="FA281" s="120"/>
      <c r="FB281" s="120"/>
      <c r="FC281" s="120"/>
      <c r="FD281" s="120"/>
      <c r="FE281" s="120"/>
      <c r="FF281" s="120"/>
      <c r="FG281" s="120"/>
      <c r="FH281" s="120"/>
      <c r="FI281" s="120"/>
      <c r="FJ281" s="120"/>
      <c r="FK281" s="120"/>
      <c r="FL281" s="120"/>
      <c r="FM281" s="120"/>
      <c r="FN281" s="120"/>
      <c r="FO281" s="120"/>
      <c r="FP281" s="120"/>
      <c r="FQ281" s="120"/>
      <c r="FR281" s="120"/>
      <c r="FS281" s="120"/>
      <c r="FT281" s="120"/>
      <c r="FU281" s="120"/>
      <c r="FV281" s="120"/>
      <c r="FW281" s="120"/>
      <c r="FX281" s="120"/>
      <c r="FY281" s="120"/>
      <c r="FZ281" s="120"/>
      <c r="GA281" s="120"/>
      <c r="GB281" s="120"/>
      <c r="GC281" s="120"/>
      <c r="GD281" s="120"/>
      <c r="GE281" s="120"/>
      <c r="GF281" s="120"/>
      <c r="GG281" s="120"/>
      <c r="GH281" s="120"/>
      <c r="GI281" s="120"/>
      <c r="GJ281" s="120"/>
      <c r="GK281" s="120"/>
      <c r="GL281" s="120"/>
      <c r="GM281" s="120"/>
      <c r="GN281" s="120"/>
      <c r="GO281" s="120"/>
      <c r="GP281" s="120"/>
      <c r="GQ281" s="120"/>
      <c r="GR281" s="120"/>
      <c r="GS281" s="120"/>
      <c r="GT281" s="120"/>
      <c r="GU281" s="120"/>
      <c r="GV281" s="120"/>
      <c r="GW281" s="120"/>
      <c r="GX281" s="120"/>
      <c r="GY281" s="120"/>
      <c r="GZ281" s="120"/>
      <c r="HA281" s="120"/>
      <c r="HB281" s="120"/>
      <c r="HC281" s="120"/>
      <c r="HD281" s="120"/>
      <c r="HE281" s="120"/>
      <c r="HF281" s="120"/>
      <c r="HG281" s="120"/>
      <c r="HH281" s="120"/>
      <c r="HI281" s="120"/>
      <c r="HJ281" s="120"/>
      <c r="HK281" s="120"/>
      <c r="HL281" s="120"/>
      <c r="HM281" s="120"/>
      <c r="HN281" s="120"/>
      <c r="HO281" s="120"/>
      <c r="HP281" s="120"/>
      <c r="HQ281" s="120"/>
      <c r="HR281" s="120"/>
      <c r="HS281" s="120"/>
      <c r="HT281" s="120"/>
      <c r="HU281" s="120"/>
      <c r="HV281" s="120"/>
      <c r="HW281" s="120"/>
      <c r="HX281" s="120"/>
      <c r="HY281" s="120"/>
      <c r="HZ281" s="120"/>
      <c r="IA281" s="120"/>
      <c r="IB281" s="120"/>
      <c r="IC281" s="120"/>
      <c r="ID281" s="120"/>
      <c r="IE281" s="120"/>
      <c r="IF281" s="120"/>
      <c r="IG281" s="120"/>
      <c r="IH281" s="120"/>
      <c r="II281" s="120"/>
      <c r="IJ281" s="120"/>
      <c r="IK281" s="120"/>
      <c r="IL281" s="120"/>
      <c r="IM281" s="120"/>
    </row>
    <row r="282" spans="2:247" ht="47.25" x14ac:dyDescent="0.25">
      <c r="B282" s="129" t="s">
        <v>79</v>
      </c>
      <c r="C282" s="258" t="s">
        <v>52</v>
      </c>
      <c r="D282" s="258">
        <v>0.44</v>
      </c>
      <c r="E282" s="258">
        <v>0.45</v>
      </c>
      <c r="F282" s="75" t="str">
        <f t="shared" si="8"/>
        <v>100</v>
      </c>
      <c r="G282" s="702"/>
      <c r="H282" s="717"/>
      <c r="I282" s="718"/>
      <c r="J282" s="718"/>
      <c r="K282" s="718"/>
      <c r="L282" s="718"/>
      <c r="M282" s="718"/>
      <c r="N282" s="718"/>
      <c r="O282" s="718"/>
      <c r="P282" s="718"/>
      <c r="Q282" s="718"/>
      <c r="R282" s="718"/>
      <c r="S282" s="718"/>
      <c r="T282" s="718"/>
      <c r="U282" s="718"/>
      <c r="V282" s="718"/>
      <c r="W282" s="718"/>
      <c r="X282" s="718"/>
      <c r="Y282" s="718"/>
      <c r="Z282" s="718"/>
      <c r="AA282" s="718"/>
      <c r="AB282" s="718"/>
      <c r="AC282" s="718"/>
      <c r="AD282" s="718"/>
      <c r="AE282" s="718"/>
      <c r="AF282" s="718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20"/>
      <c r="AV282" s="120"/>
      <c r="AW282" s="120"/>
      <c r="AX282" s="120"/>
      <c r="AY282" s="120"/>
      <c r="AZ282" s="120"/>
      <c r="BA282" s="120"/>
      <c r="BB282" s="120"/>
      <c r="BC282" s="120"/>
      <c r="BD282" s="120"/>
      <c r="BE282" s="120"/>
      <c r="BF282" s="120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20"/>
      <c r="BS282" s="120"/>
      <c r="BT282" s="120"/>
      <c r="BU282" s="120"/>
      <c r="BV282" s="120"/>
      <c r="BW282" s="120"/>
      <c r="BX282" s="120"/>
      <c r="BY282" s="120"/>
      <c r="BZ282" s="120"/>
      <c r="CA282" s="120"/>
      <c r="CB282" s="120"/>
      <c r="CC282" s="120"/>
      <c r="CD282" s="120"/>
      <c r="CE282" s="120"/>
      <c r="CF282" s="120"/>
      <c r="CG282" s="120"/>
      <c r="CH282" s="120"/>
      <c r="CI282" s="120"/>
      <c r="CJ282" s="120"/>
      <c r="CK282" s="120"/>
      <c r="CL282" s="120"/>
      <c r="CM282" s="120"/>
      <c r="CN282" s="120"/>
      <c r="CO282" s="120"/>
      <c r="CP282" s="120"/>
      <c r="CQ282" s="120"/>
      <c r="CR282" s="120"/>
      <c r="CS282" s="120"/>
      <c r="CT282" s="120"/>
      <c r="CU282" s="120"/>
      <c r="CV282" s="120"/>
      <c r="CW282" s="120"/>
      <c r="CX282" s="120"/>
      <c r="CY282" s="120"/>
      <c r="CZ282" s="120"/>
      <c r="DA282" s="120"/>
      <c r="DB282" s="120"/>
      <c r="DC282" s="120"/>
      <c r="DD282" s="120"/>
      <c r="DE282" s="120"/>
      <c r="DF282" s="120"/>
      <c r="DG282" s="120"/>
      <c r="DH282" s="120"/>
      <c r="DI282" s="120"/>
      <c r="DJ282" s="120"/>
      <c r="DK282" s="120"/>
      <c r="DL282" s="120"/>
      <c r="DM282" s="120"/>
      <c r="DN282" s="120"/>
      <c r="DO282" s="120"/>
      <c r="DP282" s="120"/>
      <c r="DQ282" s="120"/>
      <c r="DR282" s="120"/>
      <c r="DS282" s="120"/>
      <c r="DT282" s="120"/>
      <c r="DU282" s="120"/>
      <c r="DV282" s="120"/>
      <c r="DW282" s="120"/>
      <c r="DX282" s="120"/>
      <c r="DY282" s="120"/>
      <c r="DZ282" s="120"/>
      <c r="EA282" s="120"/>
      <c r="EB282" s="120"/>
      <c r="EC282" s="120"/>
      <c r="ED282" s="120"/>
      <c r="EE282" s="120"/>
      <c r="EF282" s="120"/>
      <c r="EG282" s="120"/>
      <c r="EH282" s="120"/>
      <c r="EI282" s="120"/>
      <c r="EJ282" s="120"/>
      <c r="EK282" s="120"/>
      <c r="EL282" s="120"/>
      <c r="EM282" s="120"/>
      <c r="EN282" s="120"/>
      <c r="EO282" s="120"/>
      <c r="EP282" s="120"/>
      <c r="EQ282" s="120"/>
      <c r="ER282" s="120"/>
      <c r="ES282" s="120"/>
      <c r="ET282" s="120"/>
      <c r="EU282" s="120"/>
      <c r="EV282" s="120"/>
      <c r="EW282" s="120"/>
      <c r="EX282" s="120"/>
      <c r="EY282" s="120"/>
      <c r="EZ282" s="120"/>
      <c r="FA282" s="120"/>
      <c r="FB282" s="120"/>
      <c r="FC282" s="120"/>
      <c r="FD282" s="120"/>
      <c r="FE282" s="120"/>
      <c r="FF282" s="120"/>
      <c r="FG282" s="120"/>
      <c r="FH282" s="120"/>
      <c r="FI282" s="120"/>
      <c r="FJ282" s="120"/>
      <c r="FK282" s="120"/>
      <c r="FL282" s="120"/>
      <c r="FM282" s="120"/>
      <c r="FN282" s="120"/>
      <c r="FO282" s="120"/>
      <c r="FP282" s="120"/>
      <c r="FQ282" s="120"/>
      <c r="FR282" s="120"/>
      <c r="FS282" s="120"/>
      <c r="FT282" s="120"/>
      <c r="FU282" s="120"/>
      <c r="FV282" s="120"/>
      <c r="FW282" s="120"/>
      <c r="FX282" s="120"/>
      <c r="FY282" s="120"/>
      <c r="FZ282" s="120"/>
      <c r="GA282" s="120"/>
      <c r="GB282" s="120"/>
      <c r="GC282" s="120"/>
      <c r="GD282" s="120"/>
      <c r="GE282" s="120"/>
      <c r="GF282" s="120"/>
      <c r="GG282" s="120"/>
      <c r="GH282" s="120"/>
      <c r="GI282" s="120"/>
      <c r="GJ282" s="120"/>
      <c r="GK282" s="120"/>
      <c r="GL282" s="120"/>
      <c r="GM282" s="120"/>
      <c r="GN282" s="120"/>
      <c r="GO282" s="120"/>
      <c r="GP282" s="120"/>
      <c r="GQ282" s="120"/>
      <c r="GR282" s="120"/>
      <c r="GS282" s="120"/>
      <c r="GT282" s="120"/>
      <c r="GU282" s="120"/>
      <c r="GV282" s="120"/>
      <c r="GW282" s="120"/>
      <c r="GX282" s="120"/>
      <c r="GY282" s="120"/>
      <c r="GZ282" s="120"/>
      <c r="HA282" s="120"/>
      <c r="HB282" s="120"/>
      <c r="HC282" s="120"/>
      <c r="HD282" s="120"/>
      <c r="HE282" s="120"/>
      <c r="HF282" s="120"/>
      <c r="HG282" s="120"/>
      <c r="HH282" s="120"/>
      <c r="HI282" s="120"/>
      <c r="HJ282" s="120"/>
      <c r="HK282" s="120"/>
      <c r="HL282" s="120"/>
      <c r="HM282" s="120"/>
      <c r="HN282" s="120"/>
      <c r="HO282" s="120"/>
      <c r="HP282" s="120"/>
      <c r="HQ282" s="120"/>
      <c r="HR282" s="120"/>
      <c r="HS282" s="120"/>
      <c r="HT282" s="120"/>
      <c r="HU282" s="120"/>
      <c r="HV282" s="120"/>
      <c r="HW282" s="120"/>
      <c r="HX282" s="120"/>
      <c r="HY282" s="120"/>
      <c r="HZ282" s="120"/>
      <c r="IA282" s="120"/>
      <c r="IB282" s="120"/>
      <c r="IC282" s="120"/>
      <c r="ID282" s="120"/>
      <c r="IE282" s="120"/>
      <c r="IF282" s="120"/>
      <c r="IG282" s="120"/>
      <c r="IH282" s="120"/>
      <c r="II282" s="120"/>
      <c r="IJ282" s="120"/>
      <c r="IK282" s="120"/>
      <c r="IL282" s="120"/>
      <c r="IM282" s="120"/>
    </row>
    <row r="283" spans="2:247" ht="31.5" x14ac:dyDescent="0.25">
      <c r="B283" s="129" t="s">
        <v>80</v>
      </c>
      <c r="C283" s="258" t="s">
        <v>52</v>
      </c>
      <c r="D283" s="258">
        <v>80</v>
      </c>
      <c r="E283" s="131">
        <v>90</v>
      </c>
      <c r="F283" s="75" t="str">
        <f t="shared" si="8"/>
        <v>100</v>
      </c>
      <c r="G283" s="702"/>
      <c r="I283" s="718"/>
      <c r="J283" s="718"/>
      <c r="K283" s="718"/>
      <c r="L283" s="718"/>
      <c r="M283" s="718"/>
      <c r="N283" s="718"/>
      <c r="O283" s="718"/>
      <c r="P283" s="718"/>
      <c r="Q283" s="718"/>
      <c r="R283" s="718"/>
      <c r="S283" s="718"/>
      <c r="T283" s="718"/>
      <c r="U283" s="718"/>
      <c r="V283" s="718"/>
      <c r="W283" s="718"/>
      <c r="X283" s="718"/>
      <c r="Y283" s="718"/>
      <c r="Z283" s="718"/>
      <c r="AA283" s="718"/>
      <c r="AB283" s="718"/>
      <c r="AC283" s="718"/>
      <c r="AD283" s="718"/>
      <c r="AE283" s="718"/>
      <c r="AF283" s="718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20"/>
      <c r="AV283" s="120"/>
      <c r="AW283" s="120"/>
      <c r="AX283" s="120"/>
      <c r="AY283" s="120"/>
      <c r="AZ283" s="120"/>
      <c r="BA283" s="120"/>
      <c r="BB283" s="120"/>
      <c r="BC283" s="120"/>
      <c r="BD283" s="120"/>
      <c r="BE283" s="120"/>
      <c r="BF283" s="120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20"/>
      <c r="BS283" s="120"/>
      <c r="BT283" s="120"/>
      <c r="BU283" s="120"/>
      <c r="BV283" s="120"/>
      <c r="BW283" s="120"/>
      <c r="BX283" s="120"/>
      <c r="BY283" s="120"/>
      <c r="BZ283" s="120"/>
      <c r="CA283" s="120"/>
      <c r="CB283" s="120"/>
      <c r="CC283" s="120"/>
      <c r="CD283" s="120"/>
      <c r="CE283" s="120"/>
      <c r="CF283" s="120"/>
      <c r="CG283" s="120"/>
      <c r="CH283" s="120"/>
      <c r="CI283" s="120"/>
      <c r="CJ283" s="120"/>
      <c r="CK283" s="120"/>
      <c r="CL283" s="120"/>
      <c r="CM283" s="120"/>
      <c r="CN283" s="120"/>
      <c r="CO283" s="120"/>
      <c r="CP283" s="120"/>
      <c r="CQ283" s="120"/>
      <c r="CR283" s="120"/>
      <c r="CS283" s="120"/>
      <c r="CT283" s="120"/>
      <c r="CU283" s="120"/>
      <c r="CV283" s="120"/>
      <c r="CW283" s="120"/>
      <c r="CX283" s="120"/>
      <c r="CY283" s="120"/>
      <c r="CZ283" s="120"/>
      <c r="DA283" s="120"/>
      <c r="DB283" s="120"/>
      <c r="DC283" s="120"/>
      <c r="DD283" s="120"/>
      <c r="DE283" s="120"/>
      <c r="DF283" s="120"/>
      <c r="DG283" s="120"/>
      <c r="DH283" s="120"/>
      <c r="DI283" s="120"/>
      <c r="DJ283" s="120"/>
      <c r="DK283" s="120"/>
      <c r="DL283" s="120"/>
      <c r="DM283" s="120"/>
      <c r="DN283" s="120"/>
      <c r="DO283" s="120"/>
      <c r="DP283" s="120"/>
      <c r="DQ283" s="120"/>
      <c r="DR283" s="120"/>
      <c r="DS283" s="120"/>
      <c r="DT283" s="120"/>
      <c r="DU283" s="120"/>
      <c r="DV283" s="120"/>
      <c r="DW283" s="120"/>
      <c r="DX283" s="120"/>
      <c r="DY283" s="120"/>
      <c r="DZ283" s="120"/>
      <c r="EA283" s="120"/>
      <c r="EB283" s="120"/>
      <c r="EC283" s="120"/>
      <c r="ED283" s="120"/>
      <c r="EE283" s="120"/>
      <c r="EF283" s="120"/>
      <c r="EG283" s="120"/>
      <c r="EH283" s="120"/>
      <c r="EI283" s="120"/>
      <c r="EJ283" s="120"/>
      <c r="EK283" s="120"/>
      <c r="EL283" s="120"/>
      <c r="EM283" s="120"/>
      <c r="EN283" s="120"/>
      <c r="EO283" s="120"/>
      <c r="EP283" s="120"/>
      <c r="EQ283" s="120"/>
      <c r="ER283" s="120"/>
      <c r="ES283" s="120"/>
      <c r="ET283" s="120"/>
      <c r="EU283" s="120"/>
      <c r="EV283" s="120"/>
      <c r="EW283" s="120"/>
      <c r="EX283" s="120"/>
      <c r="EY283" s="120"/>
      <c r="EZ283" s="120"/>
      <c r="FA283" s="120"/>
      <c r="FB283" s="120"/>
      <c r="FC283" s="120"/>
      <c r="FD283" s="120"/>
      <c r="FE283" s="120"/>
      <c r="FF283" s="120"/>
      <c r="FG283" s="120"/>
      <c r="FH283" s="120"/>
      <c r="FI283" s="120"/>
      <c r="FJ283" s="120"/>
      <c r="FK283" s="120"/>
      <c r="FL283" s="120"/>
      <c r="FM283" s="120"/>
      <c r="FN283" s="120"/>
      <c r="FO283" s="120"/>
      <c r="FP283" s="120"/>
      <c r="FQ283" s="120"/>
      <c r="FR283" s="120"/>
      <c r="FS283" s="120"/>
      <c r="FT283" s="120"/>
      <c r="FU283" s="120"/>
      <c r="FV283" s="120"/>
      <c r="FW283" s="120"/>
      <c r="FX283" s="120"/>
      <c r="FY283" s="120"/>
      <c r="FZ283" s="120"/>
      <c r="GA283" s="120"/>
      <c r="GB283" s="120"/>
      <c r="GC283" s="120"/>
      <c r="GD283" s="120"/>
      <c r="GE283" s="120"/>
      <c r="GF283" s="120"/>
      <c r="GG283" s="120"/>
      <c r="GH283" s="120"/>
      <c r="GI283" s="120"/>
      <c r="GJ283" s="120"/>
      <c r="GK283" s="120"/>
      <c r="GL283" s="120"/>
      <c r="GM283" s="120"/>
      <c r="GN283" s="120"/>
      <c r="GO283" s="120"/>
      <c r="GP283" s="120"/>
      <c r="GQ283" s="120"/>
      <c r="GR283" s="120"/>
      <c r="GS283" s="120"/>
      <c r="GT283" s="120"/>
      <c r="GU283" s="120"/>
      <c r="GV283" s="120"/>
      <c r="GW283" s="120"/>
      <c r="GX283" s="120"/>
      <c r="GY283" s="120"/>
      <c r="GZ283" s="120"/>
      <c r="HA283" s="120"/>
      <c r="HB283" s="120"/>
      <c r="HC283" s="120"/>
      <c r="HD283" s="120"/>
      <c r="HE283" s="120"/>
      <c r="HF283" s="120"/>
      <c r="HG283" s="120"/>
      <c r="HH283" s="120"/>
      <c r="HI283" s="120"/>
      <c r="HJ283" s="120"/>
      <c r="HK283" s="120"/>
      <c r="HL283" s="120"/>
      <c r="HM283" s="120"/>
      <c r="HN283" s="120"/>
      <c r="HO283" s="120"/>
      <c r="HP283" s="120"/>
      <c r="HQ283" s="120"/>
      <c r="HR283" s="120"/>
      <c r="HS283" s="120"/>
      <c r="HT283" s="120"/>
      <c r="HU283" s="120"/>
      <c r="HV283" s="120"/>
      <c r="HW283" s="120"/>
      <c r="HX283" s="120"/>
      <c r="HY283" s="120"/>
      <c r="HZ283" s="120"/>
      <c r="IA283" s="120"/>
      <c r="IB283" s="120"/>
      <c r="IC283" s="120"/>
      <c r="ID283" s="120"/>
      <c r="IE283" s="120"/>
      <c r="IF283" s="120"/>
      <c r="IG283" s="120"/>
      <c r="IH283" s="120"/>
      <c r="II283" s="120"/>
      <c r="IJ283" s="120"/>
      <c r="IK283" s="120"/>
      <c r="IL283" s="120"/>
      <c r="IM283" s="120"/>
    </row>
    <row r="284" spans="2:247" ht="31.5" x14ac:dyDescent="0.25">
      <c r="B284" s="129" t="s">
        <v>81</v>
      </c>
      <c r="C284" s="258" t="s">
        <v>52</v>
      </c>
      <c r="D284" s="258">
        <v>0</v>
      </c>
      <c r="E284" s="131">
        <v>0</v>
      </c>
      <c r="F284" s="75">
        <v>0</v>
      </c>
      <c r="G284" s="702"/>
      <c r="H284" s="717"/>
      <c r="I284" s="718"/>
      <c r="J284" s="718"/>
      <c r="K284" s="718"/>
      <c r="L284" s="718"/>
      <c r="M284" s="718"/>
      <c r="N284" s="718"/>
      <c r="O284" s="718"/>
      <c r="P284" s="718"/>
      <c r="Q284" s="718"/>
      <c r="R284" s="718"/>
      <c r="S284" s="718"/>
      <c r="T284" s="718"/>
      <c r="U284" s="718"/>
      <c r="V284" s="718"/>
      <c r="W284" s="718"/>
      <c r="X284" s="718"/>
      <c r="Y284" s="718"/>
      <c r="Z284" s="718"/>
      <c r="AA284" s="718"/>
      <c r="AB284" s="718"/>
      <c r="AC284" s="718"/>
      <c r="AD284" s="718"/>
      <c r="AE284" s="718"/>
      <c r="AF284" s="718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20"/>
      <c r="AV284" s="120"/>
      <c r="AW284" s="120"/>
      <c r="AX284" s="120"/>
      <c r="AY284" s="120"/>
      <c r="AZ284" s="120"/>
      <c r="BA284" s="120"/>
      <c r="BB284" s="120"/>
      <c r="BC284" s="120"/>
      <c r="BD284" s="120"/>
      <c r="BE284" s="120"/>
      <c r="BF284" s="120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20"/>
      <c r="BS284" s="120"/>
      <c r="BT284" s="120"/>
      <c r="BU284" s="120"/>
      <c r="BV284" s="120"/>
      <c r="BW284" s="120"/>
      <c r="BX284" s="120"/>
      <c r="BY284" s="120"/>
      <c r="BZ284" s="120"/>
      <c r="CA284" s="120"/>
      <c r="CB284" s="120"/>
      <c r="CC284" s="120"/>
      <c r="CD284" s="120"/>
      <c r="CE284" s="120"/>
      <c r="CF284" s="120"/>
      <c r="CG284" s="120"/>
      <c r="CH284" s="120"/>
      <c r="CI284" s="120"/>
      <c r="CJ284" s="120"/>
      <c r="CK284" s="120"/>
      <c r="CL284" s="120"/>
      <c r="CM284" s="120"/>
      <c r="CN284" s="120"/>
      <c r="CO284" s="120"/>
      <c r="CP284" s="120"/>
      <c r="CQ284" s="120"/>
      <c r="CR284" s="120"/>
      <c r="CS284" s="120"/>
      <c r="CT284" s="120"/>
      <c r="CU284" s="120"/>
      <c r="CV284" s="120"/>
      <c r="CW284" s="120"/>
      <c r="CX284" s="120"/>
      <c r="CY284" s="120"/>
      <c r="CZ284" s="120"/>
      <c r="DA284" s="120"/>
      <c r="DB284" s="120"/>
      <c r="DC284" s="120"/>
      <c r="DD284" s="120"/>
      <c r="DE284" s="120"/>
      <c r="DF284" s="120"/>
      <c r="DG284" s="120"/>
      <c r="DH284" s="120"/>
      <c r="DI284" s="120"/>
      <c r="DJ284" s="120"/>
      <c r="DK284" s="120"/>
      <c r="DL284" s="120"/>
      <c r="DM284" s="120"/>
      <c r="DN284" s="120"/>
      <c r="DO284" s="120"/>
      <c r="DP284" s="120"/>
      <c r="DQ284" s="120"/>
      <c r="DR284" s="120"/>
      <c r="DS284" s="120"/>
      <c r="DT284" s="120"/>
      <c r="DU284" s="120"/>
      <c r="DV284" s="120"/>
      <c r="DW284" s="120"/>
      <c r="DX284" s="120"/>
      <c r="DY284" s="120"/>
      <c r="DZ284" s="120"/>
      <c r="EA284" s="120"/>
      <c r="EB284" s="120"/>
      <c r="EC284" s="120"/>
      <c r="ED284" s="120"/>
      <c r="EE284" s="120"/>
      <c r="EF284" s="120"/>
      <c r="EG284" s="120"/>
      <c r="EH284" s="120"/>
      <c r="EI284" s="120"/>
      <c r="EJ284" s="120"/>
      <c r="EK284" s="120"/>
      <c r="EL284" s="120"/>
      <c r="EM284" s="120"/>
      <c r="EN284" s="120"/>
      <c r="EO284" s="120"/>
      <c r="EP284" s="120"/>
      <c r="EQ284" s="120"/>
      <c r="ER284" s="120"/>
      <c r="ES284" s="120"/>
      <c r="ET284" s="120"/>
      <c r="EU284" s="120"/>
      <c r="EV284" s="120"/>
      <c r="EW284" s="120"/>
      <c r="EX284" s="120"/>
      <c r="EY284" s="120"/>
      <c r="EZ284" s="120"/>
      <c r="FA284" s="120"/>
      <c r="FB284" s="120"/>
      <c r="FC284" s="120"/>
      <c r="FD284" s="120"/>
      <c r="FE284" s="120"/>
      <c r="FF284" s="120"/>
      <c r="FG284" s="120"/>
      <c r="FH284" s="120"/>
      <c r="FI284" s="120"/>
      <c r="FJ284" s="120"/>
      <c r="FK284" s="120"/>
      <c r="FL284" s="120"/>
      <c r="FM284" s="120"/>
      <c r="FN284" s="120"/>
      <c r="FO284" s="120"/>
      <c r="FP284" s="120"/>
      <c r="FQ284" s="120"/>
      <c r="FR284" s="120"/>
      <c r="FS284" s="120"/>
      <c r="FT284" s="120"/>
      <c r="FU284" s="120"/>
      <c r="FV284" s="120"/>
      <c r="FW284" s="120"/>
      <c r="FX284" s="120"/>
      <c r="FY284" s="120"/>
      <c r="FZ284" s="120"/>
      <c r="GA284" s="120"/>
      <c r="GB284" s="120"/>
      <c r="GC284" s="120"/>
      <c r="GD284" s="120"/>
      <c r="GE284" s="120"/>
      <c r="GF284" s="120"/>
      <c r="GG284" s="120"/>
      <c r="GH284" s="120"/>
      <c r="GI284" s="120"/>
      <c r="GJ284" s="120"/>
      <c r="GK284" s="120"/>
      <c r="GL284" s="120"/>
      <c r="GM284" s="120"/>
      <c r="GN284" s="120"/>
      <c r="GO284" s="120"/>
      <c r="GP284" s="120"/>
      <c r="GQ284" s="120"/>
      <c r="GR284" s="120"/>
      <c r="GS284" s="120"/>
      <c r="GT284" s="120"/>
      <c r="GU284" s="120"/>
      <c r="GV284" s="120"/>
      <c r="GW284" s="120"/>
      <c r="GX284" s="120"/>
      <c r="GY284" s="120"/>
      <c r="GZ284" s="120"/>
      <c r="HA284" s="120"/>
      <c r="HB284" s="120"/>
      <c r="HC284" s="120"/>
      <c r="HD284" s="120"/>
      <c r="HE284" s="120"/>
      <c r="HF284" s="120"/>
      <c r="HG284" s="120"/>
      <c r="HH284" s="120"/>
      <c r="HI284" s="120"/>
      <c r="HJ284" s="120"/>
      <c r="HK284" s="120"/>
      <c r="HL284" s="120"/>
      <c r="HM284" s="120"/>
      <c r="HN284" s="120"/>
      <c r="HO284" s="120"/>
      <c r="HP284" s="120"/>
      <c r="HQ284" s="120"/>
      <c r="HR284" s="120"/>
      <c r="HS284" s="120"/>
      <c r="HT284" s="120"/>
      <c r="HU284" s="120"/>
      <c r="HV284" s="120"/>
      <c r="HW284" s="120"/>
      <c r="HX284" s="120"/>
      <c r="HY284" s="120"/>
      <c r="HZ284" s="120"/>
      <c r="IA284" s="120"/>
      <c r="IB284" s="120"/>
      <c r="IC284" s="120"/>
      <c r="ID284" s="120"/>
      <c r="IE284" s="120"/>
      <c r="IF284" s="120"/>
      <c r="IG284" s="120"/>
      <c r="IH284" s="120"/>
      <c r="II284" s="120"/>
      <c r="IJ284" s="120"/>
      <c r="IK284" s="120"/>
      <c r="IL284" s="120"/>
      <c r="IM284" s="120"/>
    </row>
    <row r="285" spans="2:247" ht="31.5" x14ac:dyDescent="0.25">
      <c r="B285" s="129" t="s">
        <v>82</v>
      </c>
      <c r="C285" s="258" t="s">
        <v>89</v>
      </c>
      <c r="D285" s="258">
        <v>1600</v>
      </c>
      <c r="E285" s="131">
        <v>2291</v>
      </c>
      <c r="F285" s="75" t="str">
        <f t="shared" si="8"/>
        <v>100</v>
      </c>
      <c r="G285" s="702"/>
      <c r="H285" s="717"/>
      <c r="I285" s="718"/>
      <c r="J285" s="718"/>
      <c r="K285" s="718"/>
      <c r="L285" s="718"/>
      <c r="M285" s="718"/>
      <c r="N285" s="718"/>
      <c r="O285" s="718"/>
      <c r="P285" s="718"/>
      <c r="Q285" s="718"/>
      <c r="R285" s="718"/>
      <c r="S285" s="718"/>
      <c r="T285" s="718"/>
      <c r="U285" s="718"/>
      <c r="V285" s="718"/>
      <c r="W285" s="718"/>
      <c r="X285" s="718"/>
      <c r="Y285" s="718"/>
      <c r="Z285" s="718"/>
      <c r="AA285" s="718"/>
      <c r="AB285" s="718"/>
      <c r="AC285" s="718"/>
      <c r="AD285" s="718"/>
      <c r="AE285" s="718"/>
      <c r="AF285" s="718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20"/>
      <c r="AV285" s="120"/>
      <c r="AW285" s="120"/>
      <c r="AX285" s="120"/>
      <c r="AY285" s="120"/>
      <c r="AZ285" s="120"/>
      <c r="BA285" s="120"/>
      <c r="BB285" s="120"/>
      <c r="BC285" s="120"/>
      <c r="BD285" s="120"/>
      <c r="BE285" s="120"/>
      <c r="BF285" s="120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20"/>
      <c r="BS285" s="120"/>
      <c r="BT285" s="120"/>
      <c r="BU285" s="120"/>
      <c r="BV285" s="120"/>
      <c r="BW285" s="120"/>
      <c r="BX285" s="120"/>
      <c r="BY285" s="120"/>
      <c r="BZ285" s="120"/>
      <c r="CA285" s="120"/>
      <c r="CB285" s="120"/>
      <c r="CC285" s="120"/>
      <c r="CD285" s="120"/>
      <c r="CE285" s="120"/>
      <c r="CF285" s="120"/>
      <c r="CG285" s="120"/>
      <c r="CH285" s="120"/>
      <c r="CI285" s="120"/>
      <c r="CJ285" s="120"/>
      <c r="CK285" s="120"/>
      <c r="CL285" s="120"/>
      <c r="CM285" s="120"/>
      <c r="CN285" s="120"/>
      <c r="CO285" s="120"/>
      <c r="CP285" s="120"/>
      <c r="CQ285" s="120"/>
      <c r="CR285" s="120"/>
      <c r="CS285" s="120"/>
      <c r="CT285" s="120"/>
      <c r="CU285" s="120"/>
      <c r="CV285" s="120"/>
      <c r="CW285" s="120"/>
      <c r="CX285" s="120"/>
      <c r="CY285" s="120"/>
      <c r="CZ285" s="120"/>
      <c r="DA285" s="120"/>
      <c r="DB285" s="120"/>
      <c r="DC285" s="120"/>
      <c r="DD285" s="120"/>
      <c r="DE285" s="120"/>
      <c r="DF285" s="120"/>
      <c r="DG285" s="120"/>
      <c r="DH285" s="120"/>
      <c r="DI285" s="120"/>
      <c r="DJ285" s="120"/>
      <c r="DK285" s="120"/>
      <c r="DL285" s="120"/>
      <c r="DM285" s="120"/>
      <c r="DN285" s="120"/>
      <c r="DO285" s="120"/>
      <c r="DP285" s="120"/>
      <c r="DQ285" s="120"/>
      <c r="DR285" s="120"/>
      <c r="DS285" s="120"/>
      <c r="DT285" s="120"/>
      <c r="DU285" s="120"/>
      <c r="DV285" s="120"/>
      <c r="DW285" s="120"/>
      <c r="DX285" s="120"/>
      <c r="DY285" s="120"/>
      <c r="DZ285" s="120"/>
      <c r="EA285" s="120"/>
      <c r="EB285" s="120"/>
      <c r="EC285" s="120"/>
      <c r="ED285" s="120"/>
      <c r="EE285" s="120"/>
      <c r="EF285" s="120"/>
      <c r="EG285" s="120"/>
      <c r="EH285" s="120"/>
      <c r="EI285" s="120"/>
      <c r="EJ285" s="120"/>
      <c r="EK285" s="120"/>
      <c r="EL285" s="120"/>
      <c r="EM285" s="120"/>
      <c r="EN285" s="120"/>
      <c r="EO285" s="120"/>
      <c r="EP285" s="120"/>
      <c r="EQ285" s="120"/>
      <c r="ER285" s="120"/>
      <c r="ES285" s="120"/>
      <c r="ET285" s="120"/>
      <c r="EU285" s="120"/>
      <c r="EV285" s="120"/>
      <c r="EW285" s="120"/>
      <c r="EX285" s="120"/>
      <c r="EY285" s="120"/>
      <c r="EZ285" s="120"/>
      <c r="FA285" s="120"/>
      <c r="FB285" s="120"/>
      <c r="FC285" s="120"/>
      <c r="FD285" s="120"/>
      <c r="FE285" s="120"/>
      <c r="FF285" s="120"/>
      <c r="FG285" s="120"/>
      <c r="FH285" s="120"/>
      <c r="FI285" s="120"/>
      <c r="FJ285" s="120"/>
      <c r="FK285" s="120"/>
      <c r="FL285" s="120"/>
      <c r="FM285" s="120"/>
      <c r="FN285" s="120"/>
      <c r="FO285" s="120"/>
      <c r="FP285" s="120"/>
      <c r="FQ285" s="120"/>
      <c r="FR285" s="120"/>
      <c r="FS285" s="120"/>
      <c r="FT285" s="120"/>
      <c r="FU285" s="120"/>
      <c r="FV285" s="120"/>
      <c r="FW285" s="120"/>
      <c r="FX285" s="120"/>
      <c r="FY285" s="120"/>
      <c r="FZ285" s="120"/>
      <c r="GA285" s="120"/>
      <c r="GB285" s="120"/>
      <c r="GC285" s="120"/>
      <c r="GD285" s="120"/>
      <c r="GE285" s="120"/>
      <c r="GF285" s="120"/>
      <c r="GG285" s="120"/>
      <c r="GH285" s="120"/>
      <c r="GI285" s="120"/>
      <c r="GJ285" s="120"/>
      <c r="GK285" s="120"/>
      <c r="GL285" s="120"/>
      <c r="GM285" s="120"/>
      <c r="GN285" s="120"/>
      <c r="GO285" s="120"/>
      <c r="GP285" s="120"/>
      <c r="GQ285" s="120"/>
      <c r="GR285" s="120"/>
      <c r="GS285" s="120"/>
      <c r="GT285" s="120"/>
      <c r="GU285" s="120"/>
      <c r="GV285" s="120"/>
      <c r="GW285" s="120"/>
      <c r="GX285" s="120"/>
      <c r="GY285" s="120"/>
      <c r="GZ285" s="120"/>
      <c r="HA285" s="120"/>
      <c r="HB285" s="120"/>
      <c r="HC285" s="120"/>
      <c r="HD285" s="120"/>
      <c r="HE285" s="120"/>
      <c r="HF285" s="120"/>
      <c r="HG285" s="120"/>
      <c r="HH285" s="120"/>
      <c r="HI285" s="120"/>
      <c r="HJ285" s="120"/>
      <c r="HK285" s="120"/>
      <c r="HL285" s="120"/>
      <c r="HM285" s="120"/>
      <c r="HN285" s="120"/>
      <c r="HO285" s="120"/>
      <c r="HP285" s="120"/>
      <c r="HQ285" s="120"/>
      <c r="HR285" s="120"/>
      <c r="HS285" s="120"/>
      <c r="HT285" s="120"/>
      <c r="HU285" s="120"/>
      <c r="HV285" s="120"/>
      <c r="HW285" s="120"/>
      <c r="HX285" s="120"/>
      <c r="HY285" s="120"/>
      <c r="HZ285" s="120"/>
      <c r="IA285" s="120"/>
      <c r="IB285" s="120"/>
      <c r="IC285" s="120"/>
      <c r="ID285" s="120"/>
      <c r="IE285" s="120"/>
      <c r="IF285" s="120"/>
      <c r="IG285" s="120"/>
      <c r="IH285" s="120"/>
      <c r="II285" s="120"/>
      <c r="IJ285" s="120"/>
      <c r="IK285" s="120"/>
      <c r="IL285" s="120"/>
      <c r="IM285" s="120"/>
    </row>
    <row r="286" spans="2:247" x14ac:dyDescent="0.25">
      <c r="B286" s="824" t="s">
        <v>380</v>
      </c>
      <c r="C286" s="824"/>
      <c r="D286" s="824"/>
      <c r="E286" s="824"/>
      <c r="F286" s="824"/>
      <c r="G286" s="702"/>
      <c r="H286" s="717"/>
      <c r="I286" s="718"/>
      <c r="J286" s="718"/>
      <c r="K286" s="718"/>
      <c r="L286" s="718"/>
      <c r="M286" s="718"/>
      <c r="N286" s="718"/>
      <c r="O286" s="718"/>
      <c r="P286" s="718"/>
      <c r="Q286" s="718"/>
      <c r="R286" s="718"/>
      <c r="S286" s="718"/>
      <c r="T286" s="718"/>
      <c r="U286" s="718"/>
      <c r="V286" s="718"/>
      <c r="W286" s="718"/>
      <c r="X286" s="718"/>
      <c r="Y286" s="718"/>
      <c r="Z286" s="718"/>
      <c r="AA286" s="718"/>
      <c r="AB286" s="718"/>
      <c r="AC286" s="718"/>
      <c r="AD286" s="718"/>
      <c r="AE286" s="718"/>
      <c r="AF286" s="718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20"/>
      <c r="AV286" s="120"/>
      <c r="AW286" s="120"/>
      <c r="AX286" s="120"/>
      <c r="AY286" s="120"/>
      <c r="AZ286" s="120"/>
      <c r="BA286" s="120"/>
      <c r="BB286" s="120"/>
      <c r="BC286" s="120"/>
      <c r="BD286" s="120"/>
      <c r="BE286" s="120"/>
      <c r="BF286" s="120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20"/>
      <c r="BS286" s="120"/>
      <c r="BT286" s="120"/>
      <c r="BU286" s="120"/>
      <c r="BV286" s="120"/>
      <c r="BW286" s="120"/>
      <c r="BX286" s="120"/>
      <c r="BY286" s="120"/>
      <c r="BZ286" s="120"/>
      <c r="CA286" s="120"/>
      <c r="CB286" s="120"/>
      <c r="CC286" s="120"/>
      <c r="CD286" s="120"/>
      <c r="CE286" s="120"/>
      <c r="CF286" s="120"/>
      <c r="CG286" s="120"/>
      <c r="CH286" s="120"/>
      <c r="CI286" s="120"/>
      <c r="CJ286" s="120"/>
      <c r="CK286" s="120"/>
      <c r="CL286" s="120"/>
      <c r="CM286" s="120"/>
      <c r="CN286" s="120"/>
      <c r="CO286" s="120"/>
      <c r="CP286" s="120"/>
      <c r="CQ286" s="120"/>
      <c r="CR286" s="120"/>
      <c r="CS286" s="120"/>
      <c r="CT286" s="120"/>
      <c r="CU286" s="120"/>
      <c r="CV286" s="120"/>
      <c r="CW286" s="120"/>
      <c r="CX286" s="120"/>
      <c r="CY286" s="120"/>
      <c r="CZ286" s="120"/>
      <c r="DA286" s="120"/>
      <c r="DB286" s="120"/>
      <c r="DC286" s="120"/>
      <c r="DD286" s="120"/>
      <c r="DE286" s="120"/>
      <c r="DF286" s="120"/>
      <c r="DG286" s="120"/>
      <c r="DH286" s="120"/>
      <c r="DI286" s="120"/>
      <c r="DJ286" s="120"/>
      <c r="DK286" s="120"/>
      <c r="DL286" s="120"/>
      <c r="DM286" s="120"/>
      <c r="DN286" s="120"/>
      <c r="DO286" s="120"/>
      <c r="DP286" s="120"/>
      <c r="DQ286" s="120"/>
      <c r="DR286" s="120"/>
      <c r="DS286" s="120"/>
      <c r="DT286" s="120"/>
      <c r="DU286" s="120"/>
      <c r="DV286" s="120"/>
      <c r="DW286" s="120"/>
      <c r="DX286" s="120"/>
      <c r="DY286" s="120"/>
      <c r="DZ286" s="120"/>
      <c r="EA286" s="120"/>
      <c r="EB286" s="120"/>
      <c r="EC286" s="120"/>
      <c r="ED286" s="120"/>
      <c r="EE286" s="120"/>
      <c r="EF286" s="120"/>
      <c r="EG286" s="120"/>
      <c r="EH286" s="120"/>
      <c r="EI286" s="120"/>
      <c r="EJ286" s="120"/>
      <c r="EK286" s="120"/>
      <c r="EL286" s="120"/>
      <c r="EM286" s="120"/>
      <c r="EN286" s="120"/>
      <c r="EO286" s="120"/>
      <c r="EP286" s="120"/>
      <c r="EQ286" s="120"/>
      <c r="ER286" s="120"/>
      <c r="ES286" s="120"/>
      <c r="ET286" s="120"/>
      <c r="EU286" s="120"/>
      <c r="EV286" s="120"/>
      <c r="EW286" s="120"/>
      <c r="EX286" s="120"/>
      <c r="EY286" s="120"/>
      <c r="EZ286" s="120"/>
      <c r="FA286" s="120"/>
      <c r="FB286" s="120"/>
      <c r="FC286" s="120"/>
      <c r="FD286" s="120"/>
      <c r="FE286" s="120"/>
      <c r="FF286" s="120"/>
      <c r="FG286" s="120"/>
      <c r="FH286" s="120"/>
      <c r="FI286" s="120"/>
      <c r="FJ286" s="120"/>
      <c r="FK286" s="120"/>
      <c r="FL286" s="120"/>
      <c r="FM286" s="120"/>
      <c r="FN286" s="120"/>
      <c r="FO286" s="120"/>
      <c r="FP286" s="120"/>
      <c r="FQ286" s="120"/>
      <c r="FR286" s="120"/>
      <c r="FS286" s="120"/>
      <c r="FT286" s="120"/>
      <c r="FU286" s="120"/>
      <c r="FV286" s="120"/>
      <c r="FW286" s="120"/>
      <c r="FX286" s="120"/>
      <c r="FY286" s="120"/>
      <c r="FZ286" s="120"/>
      <c r="GA286" s="120"/>
      <c r="GB286" s="120"/>
      <c r="GC286" s="120"/>
      <c r="GD286" s="120"/>
      <c r="GE286" s="120"/>
      <c r="GF286" s="120"/>
      <c r="GG286" s="120"/>
      <c r="GH286" s="120"/>
      <c r="GI286" s="120"/>
      <c r="GJ286" s="120"/>
      <c r="GK286" s="120"/>
      <c r="GL286" s="120"/>
      <c r="GM286" s="120"/>
      <c r="GN286" s="120"/>
      <c r="GO286" s="120"/>
      <c r="GP286" s="120"/>
      <c r="GQ286" s="120"/>
      <c r="GR286" s="120"/>
      <c r="GS286" s="120"/>
      <c r="GT286" s="120"/>
      <c r="GU286" s="120"/>
      <c r="GV286" s="120"/>
      <c r="GW286" s="120"/>
      <c r="GX286" s="120"/>
      <c r="GY286" s="120"/>
      <c r="GZ286" s="120"/>
      <c r="HA286" s="120"/>
      <c r="HB286" s="120"/>
      <c r="HC286" s="120"/>
      <c r="HD286" s="120"/>
      <c r="HE286" s="120"/>
      <c r="HF286" s="120"/>
      <c r="HG286" s="120"/>
      <c r="HH286" s="120"/>
      <c r="HI286" s="120"/>
      <c r="HJ286" s="120"/>
      <c r="HK286" s="120"/>
      <c r="HL286" s="120"/>
      <c r="HM286" s="120"/>
      <c r="HN286" s="120"/>
      <c r="HO286" s="120"/>
      <c r="HP286" s="120"/>
      <c r="HQ286" s="120"/>
      <c r="HR286" s="120"/>
      <c r="HS286" s="120"/>
      <c r="HT286" s="120"/>
      <c r="HU286" s="120"/>
      <c r="HV286" s="120"/>
      <c r="HW286" s="120"/>
      <c r="HX286" s="120"/>
      <c r="HY286" s="120"/>
      <c r="HZ286" s="120"/>
      <c r="IA286" s="120"/>
      <c r="IB286" s="120"/>
      <c r="IC286" s="120"/>
      <c r="ID286" s="120"/>
      <c r="IE286" s="120"/>
      <c r="IF286" s="120"/>
      <c r="IG286" s="120"/>
      <c r="IH286" s="120"/>
      <c r="II286" s="120"/>
      <c r="IJ286" s="120"/>
      <c r="IK286" s="120"/>
      <c r="IL286" s="120"/>
      <c r="IM286" s="120"/>
    </row>
    <row r="287" spans="2:247" ht="48.75" customHeight="1" x14ac:dyDescent="0.25">
      <c r="B287" s="83" t="s">
        <v>83</v>
      </c>
      <c r="C287" s="25" t="s">
        <v>52</v>
      </c>
      <c r="D287" s="25">
        <v>36</v>
      </c>
      <c r="E287" s="97">
        <v>28</v>
      </c>
      <c r="F287" s="75">
        <f t="shared" si="8"/>
        <v>77.777777777777786</v>
      </c>
      <c r="G287" s="702"/>
      <c r="H287" s="717"/>
      <c r="I287" s="718"/>
      <c r="J287" s="718"/>
      <c r="K287" s="718"/>
      <c r="L287" s="718"/>
      <c r="M287" s="718"/>
      <c r="N287" s="718"/>
      <c r="O287" s="718"/>
      <c r="P287" s="718"/>
      <c r="Q287" s="718"/>
      <c r="R287" s="718"/>
      <c r="S287" s="718"/>
      <c r="T287" s="718"/>
      <c r="U287" s="718"/>
      <c r="V287" s="718"/>
      <c r="W287" s="718"/>
      <c r="X287" s="718"/>
      <c r="Y287" s="718"/>
      <c r="Z287" s="718"/>
      <c r="AA287" s="718"/>
      <c r="AB287" s="718"/>
      <c r="AC287" s="718"/>
      <c r="AD287" s="718"/>
      <c r="AE287" s="718"/>
      <c r="AF287" s="718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20"/>
      <c r="AV287" s="120"/>
      <c r="AW287" s="120"/>
      <c r="AX287" s="120"/>
      <c r="AY287" s="120"/>
      <c r="AZ287" s="120"/>
      <c r="BA287" s="120"/>
      <c r="BB287" s="120"/>
      <c r="BC287" s="120"/>
      <c r="BD287" s="120"/>
      <c r="BE287" s="120"/>
      <c r="BF287" s="120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20"/>
      <c r="BS287" s="120"/>
      <c r="BT287" s="120"/>
      <c r="BU287" s="120"/>
      <c r="BV287" s="120"/>
      <c r="BW287" s="120"/>
      <c r="BX287" s="120"/>
      <c r="BY287" s="120"/>
      <c r="BZ287" s="120"/>
      <c r="CA287" s="120"/>
      <c r="CB287" s="120"/>
      <c r="CC287" s="120"/>
      <c r="CD287" s="120"/>
      <c r="CE287" s="120"/>
      <c r="CF287" s="120"/>
      <c r="CG287" s="120"/>
      <c r="CH287" s="120"/>
      <c r="CI287" s="120"/>
      <c r="CJ287" s="120"/>
      <c r="CK287" s="120"/>
      <c r="CL287" s="120"/>
      <c r="CM287" s="120"/>
      <c r="CN287" s="120"/>
      <c r="CO287" s="120"/>
      <c r="CP287" s="120"/>
      <c r="CQ287" s="120"/>
      <c r="CR287" s="120"/>
      <c r="CS287" s="120"/>
      <c r="CT287" s="120"/>
      <c r="CU287" s="120"/>
      <c r="CV287" s="120"/>
      <c r="CW287" s="120"/>
      <c r="CX287" s="120"/>
      <c r="CY287" s="120"/>
      <c r="CZ287" s="120"/>
      <c r="DA287" s="120"/>
      <c r="DB287" s="120"/>
      <c r="DC287" s="120"/>
      <c r="DD287" s="120"/>
      <c r="DE287" s="120"/>
      <c r="DF287" s="120"/>
      <c r="DG287" s="120"/>
      <c r="DH287" s="120"/>
      <c r="DI287" s="120"/>
      <c r="DJ287" s="120"/>
      <c r="DK287" s="120"/>
      <c r="DL287" s="120"/>
      <c r="DM287" s="120"/>
      <c r="DN287" s="120"/>
      <c r="DO287" s="120"/>
      <c r="DP287" s="120"/>
      <c r="DQ287" s="120"/>
      <c r="DR287" s="120"/>
      <c r="DS287" s="120"/>
      <c r="DT287" s="120"/>
      <c r="DU287" s="120"/>
      <c r="DV287" s="120"/>
      <c r="DW287" s="120"/>
      <c r="DX287" s="120"/>
      <c r="DY287" s="120"/>
      <c r="DZ287" s="120"/>
      <c r="EA287" s="120"/>
      <c r="EB287" s="120"/>
      <c r="EC287" s="120"/>
      <c r="ED287" s="120"/>
      <c r="EE287" s="120"/>
      <c r="EF287" s="120"/>
      <c r="EG287" s="120"/>
      <c r="EH287" s="120"/>
      <c r="EI287" s="120"/>
      <c r="EJ287" s="120"/>
      <c r="EK287" s="120"/>
      <c r="EL287" s="120"/>
      <c r="EM287" s="120"/>
      <c r="EN287" s="120"/>
      <c r="EO287" s="120"/>
      <c r="EP287" s="120"/>
      <c r="EQ287" s="120"/>
      <c r="ER287" s="120"/>
      <c r="ES287" s="120"/>
      <c r="ET287" s="120"/>
      <c r="EU287" s="120"/>
      <c r="EV287" s="120"/>
      <c r="EW287" s="120"/>
      <c r="EX287" s="120"/>
      <c r="EY287" s="120"/>
      <c r="EZ287" s="120"/>
      <c r="FA287" s="120"/>
      <c r="FB287" s="120"/>
      <c r="FC287" s="120"/>
      <c r="FD287" s="120"/>
      <c r="FE287" s="120"/>
      <c r="FF287" s="120"/>
      <c r="FG287" s="120"/>
      <c r="FH287" s="120"/>
      <c r="FI287" s="120"/>
      <c r="FJ287" s="120"/>
      <c r="FK287" s="120"/>
      <c r="FL287" s="120"/>
      <c r="FM287" s="120"/>
      <c r="FN287" s="120"/>
      <c r="FO287" s="120"/>
      <c r="FP287" s="120"/>
      <c r="FQ287" s="120"/>
      <c r="FR287" s="120"/>
      <c r="FS287" s="120"/>
      <c r="FT287" s="120"/>
      <c r="FU287" s="120"/>
      <c r="FV287" s="120"/>
      <c r="FW287" s="120"/>
      <c r="FX287" s="120"/>
      <c r="FY287" s="120"/>
      <c r="FZ287" s="120"/>
      <c r="GA287" s="120"/>
      <c r="GB287" s="120"/>
      <c r="GC287" s="120"/>
      <c r="GD287" s="120"/>
      <c r="GE287" s="120"/>
      <c r="GF287" s="120"/>
      <c r="GG287" s="120"/>
      <c r="GH287" s="120"/>
      <c r="GI287" s="120"/>
      <c r="GJ287" s="120"/>
      <c r="GK287" s="120"/>
      <c r="GL287" s="120"/>
      <c r="GM287" s="120"/>
      <c r="GN287" s="120"/>
      <c r="GO287" s="120"/>
      <c r="GP287" s="120"/>
      <c r="GQ287" s="120"/>
      <c r="GR287" s="120"/>
      <c r="GS287" s="120"/>
      <c r="GT287" s="120"/>
      <c r="GU287" s="120"/>
      <c r="GV287" s="120"/>
      <c r="GW287" s="120"/>
      <c r="GX287" s="120"/>
      <c r="GY287" s="120"/>
      <c r="GZ287" s="120"/>
      <c r="HA287" s="120"/>
      <c r="HB287" s="120"/>
      <c r="HC287" s="120"/>
      <c r="HD287" s="120"/>
      <c r="HE287" s="120"/>
      <c r="HF287" s="120"/>
      <c r="HG287" s="120"/>
      <c r="HH287" s="120"/>
      <c r="HI287" s="120"/>
      <c r="HJ287" s="120"/>
      <c r="HK287" s="120"/>
      <c r="HL287" s="120"/>
      <c r="HM287" s="120"/>
      <c r="HN287" s="120"/>
      <c r="HO287" s="120"/>
      <c r="HP287" s="120"/>
      <c r="HQ287" s="120"/>
      <c r="HR287" s="120"/>
      <c r="HS287" s="120"/>
      <c r="HT287" s="120"/>
      <c r="HU287" s="120"/>
      <c r="HV287" s="120"/>
      <c r="HW287" s="120"/>
      <c r="HX287" s="120"/>
      <c r="HY287" s="120"/>
      <c r="HZ287" s="120"/>
      <c r="IA287" s="120"/>
      <c r="IB287" s="120"/>
      <c r="IC287" s="120"/>
      <c r="ID287" s="120"/>
      <c r="IE287" s="120"/>
      <c r="IF287" s="120"/>
      <c r="IG287" s="120"/>
      <c r="IH287" s="120"/>
      <c r="II287" s="120"/>
      <c r="IJ287" s="120"/>
      <c r="IK287" s="120"/>
      <c r="IL287" s="120"/>
      <c r="IM287" s="120"/>
    </row>
    <row r="288" spans="2:247" ht="49.5" customHeight="1" x14ac:dyDescent="0.25">
      <c r="B288" s="83" t="s">
        <v>84</v>
      </c>
      <c r="C288" s="25" t="s">
        <v>85</v>
      </c>
      <c r="D288" s="25">
        <v>850</v>
      </c>
      <c r="E288" s="97">
        <v>1473</v>
      </c>
      <c r="F288" s="75" t="str">
        <f t="shared" si="8"/>
        <v>100</v>
      </c>
      <c r="G288" s="702"/>
      <c r="H288" s="717"/>
      <c r="I288" s="718"/>
      <c r="J288" s="718"/>
      <c r="K288" s="718"/>
      <c r="L288" s="718"/>
      <c r="M288" s="718"/>
      <c r="N288" s="718"/>
      <c r="O288" s="718"/>
      <c r="P288" s="718"/>
      <c r="Q288" s="718"/>
      <c r="R288" s="718"/>
      <c r="S288" s="718"/>
      <c r="T288" s="718"/>
      <c r="U288" s="718"/>
      <c r="V288" s="718"/>
      <c r="W288" s="718"/>
      <c r="X288" s="718"/>
      <c r="Y288" s="718"/>
      <c r="Z288" s="718"/>
      <c r="AA288" s="718"/>
      <c r="AB288" s="718"/>
      <c r="AC288" s="718"/>
      <c r="AD288" s="718"/>
      <c r="AE288" s="718"/>
      <c r="AF288" s="718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20"/>
      <c r="AV288" s="120"/>
      <c r="AW288" s="120"/>
      <c r="AX288" s="120"/>
      <c r="AY288" s="120"/>
      <c r="AZ288" s="120"/>
      <c r="BA288" s="120"/>
      <c r="BB288" s="120"/>
      <c r="BC288" s="120"/>
      <c r="BD288" s="120"/>
      <c r="BE288" s="120"/>
      <c r="BF288" s="120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20"/>
      <c r="BS288" s="120"/>
      <c r="BT288" s="120"/>
      <c r="BU288" s="120"/>
      <c r="BV288" s="120"/>
      <c r="BW288" s="120"/>
      <c r="BX288" s="120"/>
      <c r="BY288" s="120"/>
      <c r="BZ288" s="120"/>
      <c r="CA288" s="120"/>
      <c r="CB288" s="120"/>
      <c r="CC288" s="120"/>
      <c r="CD288" s="120"/>
      <c r="CE288" s="120"/>
      <c r="CF288" s="120"/>
      <c r="CG288" s="120"/>
      <c r="CH288" s="120"/>
      <c r="CI288" s="120"/>
      <c r="CJ288" s="120"/>
      <c r="CK288" s="120"/>
      <c r="CL288" s="120"/>
      <c r="CM288" s="120"/>
      <c r="CN288" s="120"/>
      <c r="CO288" s="120"/>
      <c r="CP288" s="120"/>
      <c r="CQ288" s="120"/>
      <c r="CR288" s="120"/>
      <c r="CS288" s="120"/>
      <c r="CT288" s="120"/>
      <c r="CU288" s="120"/>
      <c r="CV288" s="120"/>
      <c r="CW288" s="120"/>
      <c r="CX288" s="120"/>
      <c r="CY288" s="120"/>
      <c r="CZ288" s="120"/>
      <c r="DA288" s="120"/>
      <c r="DB288" s="120"/>
      <c r="DC288" s="120"/>
      <c r="DD288" s="120"/>
      <c r="DE288" s="120"/>
      <c r="DF288" s="120"/>
      <c r="DG288" s="120"/>
      <c r="DH288" s="120"/>
      <c r="DI288" s="120"/>
      <c r="DJ288" s="120"/>
      <c r="DK288" s="120"/>
      <c r="DL288" s="120"/>
      <c r="DM288" s="120"/>
      <c r="DN288" s="120"/>
      <c r="DO288" s="120"/>
      <c r="DP288" s="120"/>
      <c r="DQ288" s="120"/>
      <c r="DR288" s="120"/>
      <c r="DS288" s="120"/>
      <c r="DT288" s="120"/>
      <c r="DU288" s="120"/>
      <c r="DV288" s="120"/>
      <c r="DW288" s="120"/>
      <c r="DX288" s="120"/>
      <c r="DY288" s="120"/>
      <c r="DZ288" s="120"/>
      <c r="EA288" s="120"/>
      <c r="EB288" s="120"/>
      <c r="EC288" s="120"/>
      <c r="ED288" s="120"/>
      <c r="EE288" s="120"/>
      <c r="EF288" s="120"/>
      <c r="EG288" s="120"/>
      <c r="EH288" s="120"/>
      <c r="EI288" s="120"/>
      <c r="EJ288" s="120"/>
      <c r="EK288" s="120"/>
      <c r="EL288" s="120"/>
      <c r="EM288" s="120"/>
      <c r="EN288" s="120"/>
      <c r="EO288" s="120"/>
      <c r="EP288" s="120"/>
      <c r="EQ288" s="120"/>
      <c r="ER288" s="120"/>
      <c r="ES288" s="120"/>
      <c r="ET288" s="120"/>
      <c r="EU288" s="120"/>
      <c r="EV288" s="120"/>
      <c r="EW288" s="120"/>
      <c r="EX288" s="120"/>
      <c r="EY288" s="120"/>
      <c r="EZ288" s="120"/>
      <c r="FA288" s="120"/>
      <c r="FB288" s="120"/>
      <c r="FC288" s="120"/>
      <c r="FD288" s="120"/>
      <c r="FE288" s="120"/>
      <c r="FF288" s="120"/>
      <c r="FG288" s="120"/>
      <c r="FH288" s="120"/>
      <c r="FI288" s="120"/>
      <c r="FJ288" s="120"/>
      <c r="FK288" s="120"/>
      <c r="FL288" s="120"/>
      <c r="FM288" s="120"/>
      <c r="FN288" s="120"/>
      <c r="FO288" s="120"/>
      <c r="FP288" s="120"/>
      <c r="FQ288" s="120"/>
      <c r="FR288" s="120"/>
      <c r="FS288" s="120"/>
      <c r="FT288" s="120"/>
      <c r="FU288" s="120"/>
      <c r="FV288" s="120"/>
      <c r="FW288" s="120"/>
      <c r="FX288" s="120"/>
      <c r="FY288" s="120"/>
      <c r="FZ288" s="120"/>
      <c r="GA288" s="120"/>
      <c r="GB288" s="120"/>
      <c r="GC288" s="120"/>
      <c r="GD288" s="120"/>
      <c r="GE288" s="120"/>
      <c r="GF288" s="120"/>
      <c r="GG288" s="120"/>
      <c r="GH288" s="120"/>
      <c r="GI288" s="120"/>
      <c r="GJ288" s="120"/>
      <c r="GK288" s="120"/>
      <c r="GL288" s="120"/>
      <c r="GM288" s="120"/>
      <c r="GN288" s="120"/>
      <c r="GO288" s="120"/>
      <c r="GP288" s="120"/>
      <c r="GQ288" s="120"/>
      <c r="GR288" s="120"/>
      <c r="GS288" s="120"/>
      <c r="GT288" s="120"/>
      <c r="GU288" s="120"/>
      <c r="GV288" s="120"/>
      <c r="GW288" s="120"/>
      <c r="GX288" s="120"/>
      <c r="GY288" s="120"/>
      <c r="GZ288" s="120"/>
      <c r="HA288" s="120"/>
      <c r="HB288" s="120"/>
      <c r="HC288" s="120"/>
      <c r="HD288" s="120"/>
      <c r="HE288" s="120"/>
      <c r="HF288" s="120"/>
      <c r="HG288" s="120"/>
      <c r="HH288" s="120"/>
      <c r="HI288" s="120"/>
      <c r="HJ288" s="120"/>
      <c r="HK288" s="120"/>
      <c r="HL288" s="120"/>
      <c r="HM288" s="120"/>
      <c r="HN288" s="120"/>
      <c r="HO288" s="120"/>
      <c r="HP288" s="120"/>
      <c r="HQ288" s="120"/>
      <c r="HR288" s="120"/>
      <c r="HS288" s="120"/>
      <c r="HT288" s="120"/>
      <c r="HU288" s="120"/>
      <c r="HV288" s="120"/>
      <c r="HW288" s="120"/>
      <c r="HX288" s="120"/>
      <c r="HY288" s="120"/>
      <c r="HZ288" s="120"/>
      <c r="IA288" s="120"/>
      <c r="IB288" s="120"/>
      <c r="IC288" s="120"/>
      <c r="ID288" s="120"/>
      <c r="IE288" s="120"/>
      <c r="IF288" s="120"/>
      <c r="IG288" s="120"/>
      <c r="IH288" s="120"/>
      <c r="II288" s="120"/>
      <c r="IJ288" s="120"/>
      <c r="IK288" s="120"/>
      <c r="IL288" s="120"/>
      <c r="IM288" s="120"/>
    </row>
    <row r="289" spans="2:247" ht="19.5" customHeight="1" x14ac:dyDescent="0.25">
      <c r="B289" s="83" t="s">
        <v>86</v>
      </c>
      <c r="C289" s="25" t="s">
        <v>85</v>
      </c>
      <c r="D289" s="25">
        <v>6592</v>
      </c>
      <c r="E289" s="97">
        <v>6805</v>
      </c>
      <c r="F289" s="75" t="str">
        <f t="shared" si="8"/>
        <v>100</v>
      </c>
      <c r="G289" s="702"/>
      <c r="H289" s="717"/>
      <c r="I289" s="718"/>
      <c r="J289" s="718"/>
      <c r="K289" s="718"/>
      <c r="L289" s="718"/>
      <c r="M289" s="718"/>
      <c r="N289" s="718"/>
      <c r="O289" s="718"/>
      <c r="P289" s="718"/>
      <c r="Q289" s="718"/>
      <c r="R289" s="718"/>
      <c r="S289" s="718"/>
      <c r="T289" s="718"/>
      <c r="U289" s="718"/>
      <c r="V289" s="718"/>
      <c r="W289" s="718"/>
      <c r="X289" s="718"/>
      <c r="Y289" s="718"/>
      <c r="Z289" s="718"/>
      <c r="AA289" s="718"/>
      <c r="AB289" s="718"/>
      <c r="AC289" s="718"/>
      <c r="AD289" s="718"/>
      <c r="AE289" s="718"/>
      <c r="AF289" s="718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20"/>
      <c r="AV289" s="120"/>
      <c r="AW289" s="120"/>
      <c r="AX289" s="120"/>
      <c r="AY289" s="120"/>
      <c r="AZ289" s="120"/>
      <c r="BA289" s="120"/>
      <c r="BB289" s="120"/>
      <c r="BC289" s="120"/>
      <c r="BD289" s="120"/>
      <c r="BE289" s="120"/>
      <c r="BF289" s="120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20"/>
      <c r="BS289" s="120"/>
      <c r="BT289" s="120"/>
      <c r="BU289" s="120"/>
      <c r="BV289" s="120"/>
      <c r="BW289" s="120"/>
      <c r="BX289" s="120"/>
      <c r="BY289" s="120"/>
      <c r="BZ289" s="120"/>
      <c r="CA289" s="120"/>
      <c r="CB289" s="120"/>
      <c r="CC289" s="120"/>
      <c r="CD289" s="120"/>
      <c r="CE289" s="120"/>
      <c r="CF289" s="120"/>
      <c r="CG289" s="120"/>
      <c r="CH289" s="120"/>
      <c r="CI289" s="120"/>
      <c r="CJ289" s="120"/>
      <c r="CK289" s="120"/>
      <c r="CL289" s="120"/>
      <c r="CM289" s="120"/>
      <c r="CN289" s="120"/>
      <c r="CO289" s="120"/>
      <c r="CP289" s="120"/>
      <c r="CQ289" s="120"/>
      <c r="CR289" s="120"/>
      <c r="CS289" s="120"/>
      <c r="CT289" s="120"/>
      <c r="CU289" s="120"/>
      <c r="CV289" s="120"/>
      <c r="CW289" s="120"/>
      <c r="CX289" s="120"/>
      <c r="CY289" s="120"/>
      <c r="CZ289" s="120"/>
      <c r="DA289" s="120"/>
      <c r="DB289" s="120"/>
      <c r="DC289" s="120"/>
      <c r="DD289" s="120"/>
      <c r="DE289" s="120"/>
      <c r="DF289" s="120"/>
      <c r="DG289" s="120"/>
      <c r="DH289" s="120"/>
      <c r="DI289" s="120"/>
      <c r="DJ289" s="120"/>
      <c r="DK289" s="120"/>
      <c r="DL289" s="120"/>
      <c r="DM289" s="120"/>
      <c r="DN289" s="120"/>
      <c r="DO289" s="120"/>
      <c r="DP289" s="120"/>
      <c r="DQ289" s="120"/>
      <c r="DR289" s="120"/>
      <c r="DS289" s="120"/>
      <c r="DT289" s="120"/>
      <c r="DU289" s="120"/>
      <c r="DV289" s="120"/>
      <c r="DW289" s="120"/>
      <c r="DX289" s="120"/>
      <c r="DY289" s="120"/>
      <c r="DZ289" s="120"/>
      <c r="EA289" s="120"/>
      <c r="EB289" s="120"/>
      <c r="EC289" s="120"/>
      <c r="ED289" s="120"/>
      <c r="EE289" s="120"/>
      <c r="EF289" s="120"/>
      <c r="EG289" s="120"/>
      <c r="EH289" s="120"/>
      <c r="EI289" s="120"/>
      <c r="EJ289" s="120"/>
      <c r="EK289" s="120"/>
      <c r="EL289" s="120"/>
      <c r="EM289" s="120"/>
      <c r="EN289" s="120"/>
      <c r="EO289" s="120"/>
      <c r="EP289" s="120"/>
      <c r="EQ289" s="120"/>
      <c r="ER289" s="120"/>
      <c r="ES289" s="120"/>
      <c r="ET289" s="120"/>
      <c r="EU289" s="120"/>
      <c r="EV289" s="120"/>
      <c r="EW289" s="120"/>
      <c r="EX289" s="120"/>
      <c r="EY289" s="120"/>
      <c r="EZ289" s="120"/>
      <c r="FA289" s="120"/>
      <c r="FB289" s="120"/>
      <c r="FC289" s="120"/>
      <c r="FD289" s="120"/>
      <c r="FE289" s="120"/>
      <c r="FF289" s="120"/>
      <c r="FG289" s="120"/>
      <c r="FH289" s="120"/>
      <c r="FI289" s="120"/>
      <c r="FJ289" s="120"/>
      <c r="FK289" s="120"/>
      <c r="FL289" s="120"/>
      <c r="FM289" s="120"/>
      <c r="FN289" s="120"/>
      <c r="FO289" s="120"/>
      <c r="FP289" s="120"/>
      <c r="FQ289" s="120"/>
      <c r="FR289" s="120"/>
      <c r="FS289" s="120"/>
      <c r="FT289" s="120"/>
      <c r="FU289" s="120"/>
      <c r="FV289" s="120"/>
      <c r="FW289" s="120"/>
      <c r="FX289" s="120"/>
      <c r="FY289" s="120"/>
      <c r="FZ289" s="120"/>
      <c r="GA289" s="120"/>
      <c r="GB289" s="120"/>
      <c r="GC289" s="120"/>
      <c r="GD289" s="120"/>
      <c r="GE289" s="120"/>
      <c r="GF289" s="120"/>
      <c r="GG289" s="120"/>
      <c r="GH289" s="120"/>
      <c r="GI289" s="120"/>
      <c r="GJ289" s="120"/>
      <c r="GK289" s="120"/>
      <c r="GL289" s="120"/>
      <c r="GM289" s="120"/>
      <c r="GN289" s="120"/>
      <c r="GO289" s="120"/>
      <c r="GP289" s="120"/>
      <c r="GQ289" s="120"/>
      <c r="GR289" s="120"/>
      <c r="GS289" s="120"/>
      <c r="GT289" s="120"/>
      <c r="GU289" s="120"/>
      <c r="GV289" s="120"/>
      <c r="GW289" s="120"/>
      <c r="GX289" s="120"/>
      <c r="GY289" s="120"/>
      <c r="GZ289" s="120"/>
      <c r="HA289" s="120"/>
      <c r="HB289" s="120"/>
      <c r="HC289" s="120"/>
      <c r="HD289" s="120"/>
      <c r="HE289" s="120"/>
      <c r="HF289" s="120"/>
      <c r="HG289" s="120"/>
      <c r="HH289" s="120"/>
      <c r="HI289" s="120"/>
      <c r="HJ289" s="120"/>
      <c r="HK289" s="120"/>
      <c r="HL289" s="120"/>
      <c r="HM289" s="120"/>
      <c r="HN289" s="120"/>
      <c r="HO289" s="120"/>
      <c r="HP289" s="120"/>
      <c r="HQ289" s="120"/>
      <c r="HR289" s="120"/>
      <c r="HS289" s="120"/>
      <c r="HT289" s="120"/>
      <c r="HU289" s="120"/>
      <c r="HV289" s="120"/>
      <c r="HW289" s="120"/>
      <c r="HX289" s="120"/>
      <c r="HY289" s="120"/>
      <c r="HZ289" s="120"/>
      <c r="IA289" s="120"/>
      <c r="IB289" s="120"/>
      <c r="IC289" s="120"/>
      <c r="ID289" s="120"/>
      <c r="IE289" s="120"/>
      <c r="IF289" s="120"/>
      <c r="IG289" s="120"/>
      <c r="IH289" s="120"/>
      <c r="II289" s="120"/>
      <c r="IJ289" s="120"/>
      <c r="IK289" s="120"/>
      <c r="IL289" s="120"/>
      <c r="IM289" s="120"/>
    </row>
    <row r="290" spans="2:247" ht="114" customHeight="1" x14ac:dyDescent="0.25">
      <c r="B290" s="83" t="s">
        <v>87</v>
      </c>
      <c r="C290" s="25" t="s">
        <v>85</v>
      </c>
      <c r="D290" s="25">
        <v>73</v>
      </c>
      <c r="E290" s="97">
        <v>33</v>
      </c>
      <c r="F290" s="75">
        <f t="shared" si="8"/>
        <v>45.205479452054789</v>
      </c>
      <c r="G290" s="702"/>
      <c r="H290" s="454" t="s">
        <v>1259</v>
      </c>
      <c r="I290" s="718"/>
      <c r="J290" s="718"/>
      <c r="K290" s="718"/>
      <c r="L290" s="718"/>
      <c r="M290" s="718"/>
      <c r="N290" s="718"/>
      <c r="O290" s="718"/>
      <c r="P290" s="718"/>
      <c r="Q290" s="718"/>
      <c r="R290" s="718"/>
      <c r="S290" s="718"/>
      <c r="T290" s="718"/>
      <c r="U290" s="718"/>
      <c r="V290" s="718"/>
      <c r="W290" s="718"/>
      <c r="X290" s="718"/>
      <c r="Y290" s="718"/>
      <c r="Z290" s="718"/>
      <c r="AA290" s="718"/>
      <c r="AB290" s="718"/>
      <c r="AC290" s="718"/>
      <c r="AD290" s="718"/>
      <c r="AE290" s="718"/>
      <c r="AF290" s="718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20"/>
      <c r="AV290" s="120"/>
      <c r="AW290" s="120"/>
      <c r="AX290" s="120"/>
      <c r="AY290" s="120"/>
      <c r="AZ290" s="120"/>
      <c r="BA290" s="120"/>
      <c r="BB290" s="120"/>
      <c r="BC290" s="120"/>
      <c r="BD290" s="120"/>
      <c r="BE290" s="120"/>
      <c r="BF290" s="120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20"/>
      <c r="BS290" s="120"/>
      <c r="BT290" s="120"/>
      <c r="BU290" s="120"/>
      <c r="BV290" s="120"/>
      <c r="BW290" s="120"/>
      <c r="BX290" s="120"/>
      <c r="BY290" s="120"/>
      <c r="BZ290" s="120"/>
      <c r="CA290" s="120"/>
      <c r="CB290" s="120"/>
      <c r="CC290" s="120"/>
      <c r="CD290" s="120"/>
      <c r="CE290" s="120"/>
      <c r="CF290" s="120"/>
      <c r="CG290" s="120"/>
      <c r="CH290" s="120"/>
      <c r="CI290" s="120"/>
      <c r="CJ290" s="120"/>
      <c r="CK290" s="120"/>
      <c r="CL290" s="120"/>
      <c r="CM290" s="120"/>
      <c r="CN290" s="120"/>
      <c r="CO290" s="120"/>
      <c r="CP290" s="120"/>
      <c r="CQ290" s="120"/>
      <c r="CR290" s="120"/>
      <c r="CS290" s="120"/>
      <c r="CT290" s="120"/>
      <c r="CU290" s="120"/>
      <c r="CV290" s="120"/>
      <c r="CW290" s="120"/>
      <c r="CX290" s="120"/>
      <c r="CY290" s="120"/>
      <c r="CZ290" s="120"/>
      <c r="DA290" s="120"/>
      <c r="DB290" s="120"/>
      <c r="DC290" s="120"/>
      <c r="DD290" s="120"/>
      <c r="DE290" s="120"/>
      <c r="DF290" s="120"/>
      <c r="DG290" s="120"/>
      <c r="DH290" s="120"/>
      <c r="DI290" s="120"/>
      <c r="DJ290" s="120"/>
      <c r="DK290" s="120"/>
      <c r="DL290" s="120"/>
      <c r="DM290" s="120"/>
      <c r="DN290" s="120"/>
      <c r="DO290" s="120"/>
      <c r="DP290" s="120"/>
      <c r="DQ290" s="120"/>
      <c r="DR290" s="120"/>
      <c r="DS290" s="120"/>
      <c r="DT290" s="120"/>
      <c r="DU290" s="120"/>
      <c r="DV290" s="120"/>
      <c r="DW290" s="120"/>
      <c r="DX290" s="120"/>
      <c r="DY290" s="120"/>
      <c r="DZ290" s="120"/>
      <c r="EA290" s="120"/>
      <c r="EB290" s="120"/>
      <c r="EC290" s="120"/>
      <c r="ED290" s="120"/>
      <c r="EE290" s="120"/>
      <c r="EF290" s="120"/>
      <c r="EG290" s="120"/>
      <c r="EH290" s="120"/>
      <c r="EI290" s="120"/>
      <c r="EJ290" s="120"/>
      <c r="EK290" s="120"/>
      <c r="EL290" s="120"/>
      <c r="EM290" s="120"/>
      <c r="EN290" s="120"/>
      <c r="EO290" s="120"/>
      <c r="EP290" s="120"/>
      <c r="EQ290" s="120"/>
      <c r="ER290" s="120"/>
      <c r="ES290" s="120"/>
      <c r="ET290" s="120"/>
      <c r="EU290" s="120"/>
      <c r="EV290" s="120"/>
      <c r="EW290" s="120"/>
      <c r="EX290" s="120"/>
      <c r="EY290" s="120"/>
      <c r="EZ290" s="120"/>
      <c r="FA290" s="120"/>
      <c r="FB290" s="120"/>
      <c r="FC290" s="120"/>
      <c r="FD290" s="120"/>
      <c r="FE290" s="120"/>
      <c r="FF290" s="120"/>
      <c r="FG290" s="120"/>
      <c r="FH290" s="120"/>
      <c r="FI290" s="120"/>
      <c r="FJ290" s="120"/>
      <c r="FK290" s="120"/>
      <c r="FL290" s="120"/>
      <c r="FM290" s="120"/>
      <c r="FN290" s="120"/>
      <c r="FO290" s="120"/>
      <c r="FP290" s="120"/>
      <c r="FQ290" s="120"/>
      <c r="FR290" s="120"/>
      <c r="FS290" s="120"/>
      <c r="FT290" s="120"/>
      <c r="FU290" s="120"/>
      <c r="FV290" s="120"/>
      <c r="FW290" s="120"/>
      <c r="FX290" s="120"/>
      <c r="FY290" s="120"/>
      <c r="FZ290" s="120"/>
      <c r="GA290" s="120"/>
      <c r="GB290" s="120"/>
      <c r="GC290" s="120"/>
      <c r="GD290" s="120"/>
      <c r="GE290" s="120"/>
      <c r="GF290" s="120"/>
      <c r="GG290" s="120"/>
      <c r="GH290" s="120"/>
      <c r="GI290" s="120"/>
      <c r="GJ290" s="120"/>
      <c r="GK290" s="120"/>
      <c r="GL290" s="120"/>
      <c r="GM290" s="120"/>
      <c r="GN290" s="120"/>
      <c r="GO290" s="120"/>
      <c r="GP290" s="120"/>
      <c r="GQ290" s="120"/>
      <c r="GR290" s="120"/>
      <c r="GS290" s="120"/>
      <c r="GT290" s="120"/>
      <c r="GU290" s="120"/>
      <c r="GV290" s="120"/>
      <c r="GW290" s="120"/>
      <c r="GX290" s="120"/>
      <c r="GY290" s="120"/>
      <c r="GZ290" s="120"/>
      <c r="HA290" s="120"/>
      <c r="HB290" s="120"/>
      <c r="HC290" s="120"/>
      <c r="HD290" s="120"/>
      <c r="HE290" s="120"/>
      <c r="HF290" s="120"/>
      <c r="HG290" s="120"/>
      <c r="HH290" s="120"/>
      <c r="HI290" s="120"/>
      <c r="HJ290" s="120"/>
      <c r="HK290" s="120"/>
      <c r="HL290" s="120"/>
      <c r="HM290" s="120"/>
      <c r="HN290" s="120"/>
      <c r="HO290" s="120"/>
      <c r="HP290" s="120"/>
      <c r="HQ290" s="120"/>
      <c r="HR290" s="120"/>
      <c r="HS290" s="120"/>
      <c r="HT290" s="120"/>
      <c r="HU290" s="120"/>
      <c r="HV290" s="120"/>
      <c r="HW290" s="120"/>
      <c r="HX290" s="120"/>
      <c r="HY290" s="120"/>
      <c r="HZ290" s="120"/>
      <c r="IA290" s="120"/>
      <c r="IB290" s="120"/>
      <c r="IC290" s="120"/>
      <c r="ID290" s="120"/>
      <c r="IE290" s="120"/>
      <c r="IF290" s="120"/>
      <c r="IG290" s="120"/>
      <c r="IH290" s="120"/>
      <c r="II290" s="120"/>
      <c r="IJ290" s="120"/>
      <c r="IK290" s="120"/>
      <c r="IL290" s="120"/>
      <c r="IM290" s="120"/>
    </row>
    <row r="291" spans="2:247" x14ac:dyDescent="0.25">
      <c r="B291" s="83" t="s">
        <v>88</v>
      </c>
      <c r="C291" s="25" t="s">
        <v>72</v>
      </c>
      <c r="D291" s="25">
        <v>1</v>
      </c>
      <c r="E291" s="132">
        <v>1</v>
      </c>
      <c r="F291" s="75">
        <f t="shared" si="8"/>
        <v>100</v>
      </c>
      <c r="G291" s="702"/>
      <c r="H291" s="717"/>
      <c r="I291" s="718"/>
      <c r="J291" s="718"/>
      <c r="K291" s="718"/>
      <c r="L291" s="718"/>
      <c r="M291" s="718"/>
      <c r="N291" s="718"/>
      <c r="O291" s="718"/>
      <c r="P291" s="718"/>
      <c r="Q291" s="718"/>
      <c r="R291" s="718"/>
      <c r="S291" s="718"/>
      <c r="T291" s="718"/>
      <c r="U291" s="718"/>
      <c r="V291" s="718"/>
      <c r="W291" s="718"/>
      <c r="X291" s="718"/>
      <c r="Y291" s="718"/>
      <c r="Z291" s="718"/>
      <c r="AA291" s="718"/>
      <c r="AB291" s="718"/>
      <c r="AC291" s="718"/>
      <c r="AD291" s="718"/>
      <c r="AE291" s="718"/>
      <c r="AF291" s="718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20"/>
      <c r="AV291" s="120"/>
      <c r="AW291" s="120"/>
      <c r="AX291" s="120"/>
      <c r="AY291" s="120"/>
      <c r="AZ291" s="120"/>
      <c r="BA291" s="120"/>
      <c r="BB291" s="120"/>
      <c r="BC291" s="120"/>
      <c r="BD291" s="120"/>
      <c r="BE291" s="120"/>
      <c r="BF291" s="120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20"/>
      <c r="BS291" s="120"/>
      <c r="BT291" s="120"/>
      <c r="BU291" s="120"/>
      <c r="BV291" s="120"/>
      <c r="BW291" s="120"/>
      <c r="BX291" s="120"/>
      <c r="BY291" s="120"/>
      <c r="BZ291" s="120"/>
      <c r="CA291" s="120"/>
      <c r="CB291" s="120"/>
      <c r="CC291" s="120"/>
      <c r="CD291" s="120"/>
      <c r="CE291" s="120"/>
      <c r="CF291" s="120"/>
      <c r="CG291" s="120"/>
      <c r="CH291" s="120"/>
      <c r="CI291" s="120"/>
      <c r="CJ291" s="120"/>
      <c r="CK291" s="120"/>
      <c r="CL291" s="120"/>
      <c r="CM291" s="120"/>
      <c r="CN291" s="120"/>
      <c r="CO291" s="120"/>
      <c r="CP291" s="120"/>
      <c r="CQ291" s="120"/>
      <c r="CR291" s="120"/>
      <c r="CS291" s="120"/>
      <c r="CT291" s="120"/>
      <c r="CU291" s="120"/>
      <c r="CV291" s="120"/>
      <c r="CW291" s="120"/>
      <c r="CX291" s="120"/>
      <c r="CY291" s="120"/>
      <c r="CZ291" s="120"/>
      <c r="DA291" s="120"/>
      <c r="DB291" s="120"/>
      <c r="DC291" s="120"/>
      <c r="DD291" s="120"/>
      <c r="DE291" s="120"/>
      <c r="DF291" s="120"/>
      <c r="DG291" s="120"/>
      <c r="DH291" s="120"/>
      <c r="DI291" s="120"/>
      <c r="DJ291" s="120"/>
      <c r="DK291" s="120"/>
      <c r="DL291" s="120"/>
      <c r="DM291" s="120"/>
      <c r="DN291" s="120"/>
      <c r="DO291" s="120"/>
      <c r="DP291" s="120"/>
      <c r="DQ291" s="120"/>
      <c r="DR291" s="120"/>
      <c r="DS291" s="120"/>
      <c r="DT291" s="120"/>
      <c r="DU291" s="120"/>
      <c r="DV291" s="120"/>
      <c r="DW291" s="120"/>
      <c r="DX291" s="120"/>
      <c r="DY291" s="120"/>
      <c r="DZ291" s="120"/>
      <c r="EA291" s="120"/>
      <c r="EB291" s="120"/>
      <c r="EC291" s="120"/>
      <c r="ED291" s="120"/>
      <c r="EE291" s="120"/>
      <c r="EF291" s="120"/>
      <c r="EG291" s="120"/>
      <c r="EH291" s="120"/>
      <c r="EI291" s="120"/>
      <c r="EJ291" s="120"/>
      <c r="EK291" s="120"/>
      <c r="EL291" s="120"/>
      <c r="EM291" s="120"/>
      <c r="EN291" s="120"/>
      <c r="EO291" s="120"/>
      <c r="EP291" s="120"/>
      <c r="EQ291" s="120"/>
      <c r="ER291" s="120"/>
      <c r="ES291" s="120"/>
      <c r="ET291" s="120"/>
      <c r="EU291" s="120"/>
      <c r="EV291" s="120"/>
      <c r="EW291" s="120"/>
      <c r="EX291" s="120"/>
      <c r="EY291" s="120"/>
      <c r="EZ291" s="120"/>
      <c r="FA291" s="120"/>
      <c r="FB291" s="120"/>
      <c r="FC291" s="120"/>
      <c r="FD291" s="120"/>
      <c r="FE291" s="120"/>
      <c r="FF291" s="120"/>
      <c r="FG291" s="120"/>
      <c r="FH291" s="120"/>
      <c r="FI291" s="120"/>
      <c r="FJ291" s="120"/>
      <c r="FK291" s="120"/>
      <c r="FL291" s="120"/>
      <c r="FM291" s="120"/>
      <c r="FN291" s="120"/>
      <c r="FO291" s="120"/>
      <c r="FP291" s="120"/>
      <c r="FQ291" s="120"/>
      <c r="FR291" s="120"/>
      <c r="FS291" s="120"/>
      <c r="FT291" s="120"/>
      <c r="FU291" s="120"/>
      <c r="FV291" s="120"/>
      <c r="FW291" s="120"/>
      <c r="FX291" s="120"/>
      <c r="FY291" s="120"/>
      <c r="FZ291" s="120"/>
      <c r="GA291" s="120"/>
      <c r="GB291" s="120"/>
      <c r="GC291" s="120"/>
      <c r="GD291" s="120"/>
      <c r="GE291" s="120"/>
      <c r="GF291" s="120"/>
      <c r="GG291" s="120"/>
      <c r="GH291" s="120"/>
      <c r="GI291" s="120"/>
      <c r="GJ291" s="120"/>
      <c r="GK291" s="120"/>
      <c r="GL291" s="120"/>
      <c r="GM291" s="120"/>
      <c r="GN291" s="120"/>
      <c r="GO291" s="120"/>
      <c r="GP291" s="120"/>
      <c r="GQ291" s="120"/>
      <c r="GR291" s="120"/>
      <c r="GS291" s="120"/>
      <c r="GT291" s="120"/>
      <c r="GU291" s="120"/>
      <c r="GV291" s="120"/>
      <c r="GW291" s="120"/>
      <c r="GX291" s="120"/>
      <c r="GY291" s="120"/>
      <c r="GZ291" s="120"/>
      <c r="HA291" s="120"/>
      <c r="HB291" s="120"/>
      <c r="HC291" s="120"/>
      <c r="HD291" s="120"/>
      <c r="HE291" s="120"/>
      <c r="HF291" s="120"/>
      <c r="HG291" s="120"/>
      <c r="HH291" s="120"/>
      <c r="HI291" s="120"/>
      <c r="HJ291" s="120"/>
      <c r="HK291" s="120"/>
      <c r="HL291" s="120"/>
      <c r="HM291" s="120"/>
      <c r="HN291" s="120"/>
      <c r="HO291" s="120"/>
      <c r="HP291" s="120"/>
      <c r="HQ291" s="120"/>
      <c r="HR291" s="120"/>
      <c r="HS291" s="120"/>
      <c r="HT291" s="120"/>
      <c r="HU291" s="120"/>
      <c r="HV291" s="120"/>
      <c r="HW291" s="120"/>
      <c r="HX291" s="120"/>
      <c r="HY291" s="120"/>
      <c r="HZ291" s="120"/>
      <c r="IA291" s="120"/>
      <c r="IB291" s="120"/>
      <c r="IC291" s="120"/>
      <c r="ID291" s="120"/>
      <c r="IE291" s="120"/>
      <c r="IF291" s="120"/>
      <c r="IG291" s="120"/>
      <c r="IH291" s="120"/>
      <c r="II291" s="120"/>
      <c r="IJ291" s="120"/>
      <c r="IK291" s="120"/>
      <c r="IL291" s="120"/>
      <c r="IM291" s="120"/>
    </row>
    <row r="292" spans="2:247" ht="16.5" customHeight="1" x14ac:dyDescent="0.25">
      <c r="B292" s="83" t="s">
        <v>1095</v>
      </c>
      <c r="C292" s="25" t="s">
        <v>52</v>
      </c>
      <c r="D292" s="25">
        <v>2</v>
      </c>
      <c r="E292" s="133">
        <v>2</v>
      </c>
      <c r="F292" s="75">
        <f t="shared" si="8"/>
        <v>100</v>
      </c>
      <c r="G292" s="702"/>
      <c r="H292" s="717"/>
      <c r="I292" s="718"/>
      <c r="J292" s="718"/>
      <c r="K292" s="718"/>
      <c r="L292" s="718"/>
      <c r="M292" s="718"/>
      <c r="N292" s="718"/>
      <c r="O292" s="718"/>
      <c r="P292" s="718"/>
      <c r="Q292" s="718"/>
      <c r="R292" s="718"/>
      <c r="S292" s="718"/>
      <c r="T292" s="718"/>
      <c r="U292" s="718"/>
      <c r="V292" s="718"/>
      <c r="W292" s="718"/>
      <c r="X292" s="718"/>
      <c r="Y292" s="718"/>
      <c r="Z292" s="718"/>
      <c r="AA292" s="718"/>
      <c r="AB292" s="718"/>
      <c r="AC292" s="718"/>
      <c r="AD292" s="718"/>
      <c r="AE292" s="718"/>
      <c r="AF292" s="718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20"/>
      <c r="AV292" s="120"/>
      <c r="AW292" s="120"/>
      <c r="AX292" s="120"/>
      <c r="AY292" s="120"/>
      <c r="AZ292" s="120"/>
      <c r="BA292" s="120"/>
      <c r="BB292" s="120"/>
      <c r="BC292" s="120"/>
      <c r="BD292" s="120"/>
      <c r="BE292" s="120"/>
      <c r="BF292" s="120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20"/>
      <c r="BS292" s="120"/>
      <c r="BT292" s="120"/>
      <c r="BU292" s="120"/>
      <c r="BV292" s="120"/>
      <c r="BW292" s="120"/>
      <c r="BX292" s="120"/>
      <c r="BY292" s="120"/>
      <c r="BZ292" s="120"/>
      <c r="CA292" s="120"/>
      <c r="CB292" s="120"/>
      <c r="CC292" s="120"/>
      <c r="CD292" s="120"/>
      <c r="CE292" s="120"/>
      <c r="CF292" s="120"/>
      <c r="CG292" s="120"/>
      <c r="CH292" s="120"/>
      <c r="CI292" s="120"/>
      <c r="CJ292" s="120"/>
      <c r="CK292" s="120"/>
      <c r="CL292" s="120"/>
      <c r="CM292" s="120"/>
      <c r="CN292" s="120"/>
      <c r="CO292" s="120"/>
      <c r="CP292" s="120"/>
      <c r="CQ292" s="120"/>
      <c r="CR292" s="120"/>
      <c r="CS292" s="120"/>
      <c r="CT292" s="120"/>
      <c r="CU292" s="120"/>
      <c r="CV292" s="120"/>
      <c r="CW292" s="120"/>
      <c r="CX292" s="120"/>
      <c r="CY292" s="120"/>
      <c r="CZ292" s="120"/>
      <c r="DA292" s="120"/>
      <c r="DB292" s="120"/>
      <c r="DC292" s="120"/>
      <c r="DD292" s="120"/>
      <c r="DE292" s="120"/>
      <c r="DF292" s="120"/>
      <c r="DG292" s="120"/>
      <c r="DH292" s="120"/>
      <c r="DI292" s="120"/>
      <c r="DJ292" s="120"/>
      <c r="DK292" s="120"/>
      <c r="DL292" s="120"/>
      <c r="DM292" s="120"/>
      <c r="DN292" s="120"/>
      <c r="DO292" s="120"/>
      <c r="DP292" s="120"/>
      <c r="DQ292" s="120"/>
      <c r="DR292" s="120"/>
      <c r="DS292" s="120"/>
      <c r="DT292" s="120"/>
      <c r="DU292" s="120"/>
      <c r="DV292" s="120"/>
      <c r="DW292" s="120"/>
      <c r="DX292" s="120"/>
      <c r="DY292" s="120"/>
      <c r="DZ292" s="120"/>
      <c r="EA292" s="120"/>
      <c r="EB292" s="120"/>
      <c r="EC292" s="120"/>
      <c r="ED292" s="120"/>
      <c r="EE292" s="120"/>
      <c r="EF292" s="120"/>
      <c r="EG292" s="120"/>
      <c r="EH292" s="120"/>
      <c r="EI292" s="120"/>
      <c r="EJ292" s="120"/>
      <c r="EK292" s="120"/>
      <c r="EL292" s="120"/>
      <c r="EM292" s="120"/>
      <c r="EN292" s="120"/>
      <c r="EO292" s="120"/>
      <c r="EP292" s="120"/>
      <c r="EQ292" s="120"/>
      <c r="ER292" s="120"/>
      <c r="ES292" s="120"/>
      <c r="ET292" s="120"/>
      <c r="EU292" s="120"/>
      <c r="EV292" s="120"/>
      <c r="EW292" s="120"/>
      <c r="EX292" s="120"/>
      <c r="EY292" s="120"/>
      <c r="EZ292" s="120"/>
      <c r="FA292" s="120"/>
      <c r="FB292" s="120"/>
      <c r="FC292" s="120"/>
      <c r="FD292" s="120"/>
      <c r="FE292" s="120"/>
      <c r="FF292" s="120"/>
      <c r="FG292" s="120"/>
      <c r="FH292" s="120"/>
      <c r="FI292" s="120"/>
      <c r="FJ292" s="120"/>
      <c r="FK292" s="120"/>
      <c r="FL292" s="120"/>
      <c r="FM292" s="120"/>
      <c r="FN292" s="120"/>
      <c r="FO292" s="120"/>
      <c r="FP292" s="120"/>
      <c r="FQ292" s="120"/>
      <c r="FR292" s="120"/>
      <c r="FS292" s="120"/>
      <c r="FT292" s="120"/>
      <c r="FU292" s="120"/>
      <c r="FV292" s="120"/>
      <c r="FW292" s="120"/>
      <c r="FX292" s="120"/>
      <c r="FY292" s="120"/>
      <c r="FZ292" s="120"/>
      <c r="GA292" s="120"/>
      <c r="GB292" s="120"/>
      <c r="GC292" s="120"/>
      <c r="GD292" s="120"/>
      <c r="GE292" s="120"/>
      <c r="GF292" s="120"/>
      <c r="GG292" s="120"/>
      <c r="GH292" s="120"/>
      <c r="GI292" s="120"/>
      <c r="GJ292" s="120"/>
      <c r="GK292" s="120"/>
      <c r="GL292" s="120"/>
      <c r="GM292" s="120"/>
      <c r="GN292" s="120"/>
      <c r="GO292" s="120"/>
      <c r="GP292" s="120"/>
      <c r="GQ292" s="120"/>
      <c r="GR292" s="120"/>
      <c r="GS292" s="120"/>
      <c r="GT292" s="120"/>
      <c r="GU292" s="120"/>
      <c r="GV292" s="120"/>
      <c r="GW292" s="120"/>
      <c r="GX292" s="120"/>
      <c r="GY292" s="120"/>
      <c r="GZ292" s="120"/>
      <c r="HA292" s="120"/>
      <c r="HB292" s="120"/>
      <c r="HC292" s="120"/>
      <c r="HD292" s="120"/>
      <c r="HE292" s="120"/>
      <c r="HF292" s="120"/>
      <c r="HG292" s="120"/>
      <c r="HH292" s="120"/>
      <c r="HI292" s="120"/>
      <c r="HJ292" s="120"/>
      <c r="HK292" s="120"/>
      <c r="HL292" s="120"/>
      <c r="HM292" s="120"/>
      <c r="HN292" s="120"/>
      <c r="HO292" s="120"/>
      <c r="HP292" s="120"/>
      <c r="HQ292" s="120"/>
      <c r="HR292" s="120"/>
      <c r="HS292" s="120"/>
      <c r="HT292" s="120"/>
      <c r="HU292" s="120"/>
      <c r="HV292" s="120"/>
      <c r="HW292" s="120"/>
      <c r="HX292" s="120"/>
      <c r="HY292" s="120"/>
      <c r="HZ292" s="120"/>
      <c r="IA292" s="120"/>
      <c r="IB292" s="120"/>
      <c r="IC292" s="120"/>
      <c r="ID292" s="120"/>
      <c r="IE292" s="120"/>
      <c r="IF292" s="120"/>
      <c r="IG292" s="120"/>
      <c r="IH292" s="120"/>
      <c r="II292" s="120"/>
      <c r="IJ292" s="120"/>
      <c r="IK292" s="120"/>
      <c r="IL292" s="120"/>
      <c r="IM292" s="120"/>
    </row>
    <row r="293" spans="2:247" ht="16.5" customHeight="1" x14ac:dyDescent="0.25">
      <c r="B293" s="83" t="s">
        <v>90</v>
      </c>
      <c r="C293" s="25" t="s">
        <v>85</v>
      </c>
      <c r="D293" s="25">
        <v>3</v>
      </c>
      <c r="E293" s="133">
        <v>1</v>
      </c>
      <c r="F293" s="75">
        <f>IF((E293/D293*100)&gt;100,"100",E293/D293*100)</f>
        <v>33.333333333333329</v>
      </c>
      <c r="G293" s="702"/>
      <c r="H293" s="717" t="s">
        <v>1260</v>
      </c>
      <c r="I293" s="718"/>
      <c r="J293" s="718"/>
      <c r="K293" s="718"/>
      <c r="L293" s="718"/>
      <c r="M293" s="718"/>
      <c r="N293" s="718"/>
      <c r="O293" s="718"/>
      <c r="P293" s="718"/>
      <c r="Q293" s="718"/>
      <c r="R293" s="718"/>
      <c r="S293" s="718"/>
      <c r="T293" s="718"/>
      <c r="U293" s="718"/>
      <c r="V293" s="718"/>
      <c r="W293" s="718"/>
      <c r="X293" s="718"/>
      <c r="Y293" s="718"/>
      <c r="Z293" s="718"/>
      <c r="AA293" s="718"/>
      <c r="AB293" s="718"/>
      <c r="AC293" s="718"/>
      <c r="AD293" s="718"/>
      <c r="AE293" s="718"/>
      <c r="AF293" s="718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20"/>
      <c r="AV293" s="120"/>
      <c r="AW293" s="120"/>
      <c r="AX293" s="120"/>
      <c r="AY293" s="120"/>
      <c r="AZ293" s="120"/>
      <c r="BA293" s="120"/>
      <c r="BB293" s="120"/>
      <c r="BC293" s="120"/>
      <c r="BD293" s="120"/>
      <c r="BE293" s="120"/>
      <c r="BF293" s="120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20"/>
      <c r="BS293" s="120"/>
      <c r="BT293" s="120"/>
      <c r="BU293" s="120"/>
      <c r="BV293" s="120"/>
      <c r="BW293" s="120"/>
      <c r="BX293" s="120"/>
      <c r="BY293" s="120"/>
      <c r="BZ293" s="120"/>
      <c r="CA293" s="120"/>
      <c r="CB293" s="120"/>
      <c r="CC293" s="120"/>
      <c r="CD293" s="120"/>
      <c r="CE293" s="120"/>
      <c r="CF293" s="120"/>
      <c r="CG293" s="120"/>
      <c r="CH293" s="120"/>
      <c r="CI293" s="120"/>
      <c r="CJ293" s="120"/>
      <c r="CK293" s="120"/>
      <c r="CL293" s="120"/>
      <c r="CM293" s="120"/>
      <c r="CN293" s="120"/>
      <c r="CO293" s="120"/>
      <c r="CP293" s="120"/>
      <c r="CQ293" s="120"/>
      <c r="CR293" s="120"/>
      <c r="CS293" s="120"/>
      <c r="CT293" s="120"/>
      <c r="CU293" s="120"/>
      <c r="CV293" s="120"/>
      <c r="CW293" s="120"/>
      <c r="CX293" s="120"/>
      <c r="CY293" s="120"/>
      <c r="CZ293" s="120"/>
      <c r="DA293" s="120"/>
      <c r="DB293" s="120"/>
      <c r="DC293" s="120"/>
      <c r="DD293" s="120"/>
      <c r="DE293" s="120"/>
      <c r="DF293" s="120"/>
      <c r="DG293" s="120"/>
      <c r="DH293" s="120"/>
      <c r="DI293" s="120"/>
      <c r="DJ293" s="120"/>
      <c r="DK293" s="120"/>
      <c r="DL293" s="120"/>
      <c r="DM293" s="120"/>
      <c r="DN293" s="120"/>
      <c r="DO293" s="120"/>
      <c r="DP293" s="120"/>
      <c r="DQ293" s="120"/>
      <c r="DR293" s="120"/>
      <c r="DS293" s="120"/>
      <c r="DT293" s="120"/>
      <c r="DU293" s="120"/>
      <c r="DV293" s="120"/>
      <c r="DW293" s="120"/>
      <c r="DX293" s="120"/>
      <c r="DY293" s="120"/>
      <c r="DZ293" s="120"/>
      <c r="EA293" s="120"/>
      <c r="EB293" s="120"/>
      <c r="EC293" s="120"/>
      <c r="ED293" s="120"/>
      <c r="EE293" s="120"/>
      <c r="EF293" s="120"/>
      <c r="EG293" s="120"/>
      <c r="EH293" s="120"/>
      <c r="EI293" s="120"/>
      <c r="EJ293" s="120"/>
      <c r="EK293" s="120"/>
      <c r="EL293" s="120"/>
      <c r="EM293" s="120"/>
      <c r="EN293" s="120"/>
      <c r="EO293" s="120"/>
      <c r="EP293" s="120"/>
      <c r="EQ293" s="120"/>
      <c r="ER293" s="120"/>
      <c r="ES293" s="120"/>
      <c r="ET293" s="120"/>
      <c r="EU293" s="120"/>
      <c r="EV293" s="120"/>
      <c r="EW293" s="120"/>
      <c r="EX293" s="120"/>
      <c r="EY293" s="120"/>
      <c r="EZ293" s="120"/>
      <c r="FA293" s="120"/>
      <c r="FB293" s="120"/>
      <c r="FC293" s="120"/>
      <c r="FD293" s="120"/>
      <c r="FE293" s="120"/>
      <c r="FF293" s="120"/>
      <c r="FG293" s="120"/>
      <c r="FH293" s="120"/>
      <c r="FI293" s="120"/>
      <c r="FJ293" s="120"/>
      <c r="FK293" s="120"/>
      <c r="FL293" s="120"/>
      <c r="FM293" s="120"/>
      <c r="FN293" s="120"/>
      <c r="FO293" s="120"/>
      <c r="FP293" s="120"/>
      <c r="FQ293" s="120"/>
      <c r="FR293" s="120"/>
      <c r="FS293" s="120"/>
      <c r="FT293" s="120"/>
      <c r="FU293" s="120"/>
      <c r="FV293" s="120"/>
      <c r="FW293" s="120"/>
      <c r="FX293" s="120"/>
      <c r="FY293" s="120"/>
      <c r="FZ293" s="120"/>
      <c r="GA293" s="120"/>
      <c r="GB293" s="120"/>
      <c r="GC293" s="120"/>
      <c r="GD293" s="120"/>
      <c r="GE293" s="120"/>
      <c r="GF293" s="120"/>
      <c r="GG293" s="120"/>
      <c r="GH293" s="120"/>
      <c r="GI293" s="120"/>
      <c r="GJ293" s="120"/>
      <c r="GK293" s="120"/>
      <c r="GL293" s="120"/>
      <c r="GM293" s="120"/>
      <c r="GN293" s="120"/>
      <c r="GO293" s="120"/>
      <c r="GP293" s="120"/>
      <c r="GQ293" s="120"/>
      <c r="GR293" s="120"/>
      <c r="GS293" s="120"/>
      <c r="GT293" s="120"/>
      <c r="GU293" s="120"/>
      <c r="GV293" s="120"/>
      <c r="GW293" s="120"/>
      <c r="GX293" s="120"/>
      <c r="GY293" s="120"/>
      <c r="GZ293" s="120"/>
      <c r="HA293" s="120"/>
      <c r="HB293" s="120"/>
      <c r="HC293" s="120"/>
      <c r="HD293" s="120"/>
      <c r="HE293" s="120"/>
      <c r="HF293" s="120"/>
      <c r="HG293" s="120"/>
      <c r="HH293" s="120"/>
      <c r="HI293" s="120"/>
      <c r="HJ293" s="120"/>
      <c r="HK293" s="120"/>
      <c r="HL293" s="120"/>
      <c r="HM293" s="120"/>
      <c r="HN293" s="120"/>
      <c r="HO293" s="120"/>
      <c r="HP293" s="120"/>
      <c r="HQ293" s="120"/>
      <c r="HR293" s="120"/>
      <c r="HS293" s="120"/>
      <c r="HT293" s="120"/>
      <c r="HU293" s="120"/>
      <c r="HV293" s="120"/>
      <c r="HW293" s="120"/>
      <c r="HX293" s="120"/>
      <c r="HY293" s="120"/>
      <c r="HZ293" s="120"/>
      <c r="IA293" s="120"/>
      <c r="IB293" s="120"/>
      <c r="IC293" s="120"/>
      <c r="ID293" s="120"/>
      <c r="IE293" s="120"/>
      <c r="IF293" s="120"/>
      <c r="IG293" s="120"/>
      <c r="IH293" s="120"/>
      <c r="II293" s="120"/>
      <c r="IJ293" s="120"/>
      <c r="IK293" s="120"/>
      <c r="IL293" s="120"/>
      <c r="IM293" s="120"/>
    </row>
    <row r="294" spans="2:247" x14ac:dyDescent="0.25">
      <c r="B294" s="83" t="s">
        <v>91</v>
      </c>
      <c r="C294" s="25" t="s">
        <v>52</v>
      </c>
      <c r="D294" s="28">
        <f>10/116*100</f>
        <v>8.6206896551724146</v>
      </c>
      <c r="E294" s="134">
        <v>8.6</v>
      </c>
      <c r="F294" s="75">
        <v>100</v>
      </c>
      <c r="G294" s="702"/>
      <c r="H294" s="717"/>
      <c r="I294" s="718"/>
      <c r="J294" s="718"/>
      <c r="K294" s="718"/>
      <c r="L294" s="718"/>
      <c r="M294" s="718"/>
      <c r="N294" s="718"/>
      <c r="O294" s="718"/>
      <c r="P294" s="718"/>
      <c r="Q294" s="718"/>
      <c r="R294" s="718"/>
      <c r="S294" s="718"/>
      <c r="T294" s="718"/>
      <c r="U294" s="718"/>
      <c r="V294" s="718"/>
      <c r="W294" s="718"/>
      <c r="X294" s="718"/>
      <c r="Y294" s="718"/>
      <c r="Z294" s="718"/>
      <c r="AA294" s="718"/>
      <c r="AB294" s="718"/>
      <c r="AC294" s="718"/>
      <c r="AD294" s="718"/>
      <c r="AE294" s="718"/>
      <c r="AF294" s="718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20"/>
      <c r="AV294" s="120"/>
      <c r="AW294" s="120"/>
      <c r="AX294" s="120"/>
      <c r="AY294" s="120"/>
      <c r="AZ294" s="120"/>
      <c r="BA294" s="120"/>
      <c r="BB294" s="120"/>
      <c r="BC294" s="120"/>
      <c r="BD294" s="120"/>
      <c r="BE294" s="120"/>
      <c r="BF294" s="120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20"/>
      <c r="BS294" s="120"/>
      <c r="BT294" s="120"/>
      <c r="BU294" s="120"/>
      <c r="BV294" s="120"/>
      <c r="BW294" s="120"/>
      <c r="BX294" s="120"/>
      <c r="BY294" s="120"/>
      <c r="BZ294" s="120"/>
      <c r="CA294" s="120"/>
      <c r="CB294" s="120"/>
      <c r="CC294" s="120"/>
      <c r="CD294" s="120"/>
      <c r="CE294" s="120"/>
      <c r="CF294" s="120"/>
      <c r="CG294" s="120"/>
      <c r="CH294" s="120"/>
      <c r="CI294" s="120"/>
      <c r="CJ294" s="120"/>
      <c r="CK294" s="120"/>
      <c r="CL294" s="120"/>
      <c r="CM294" s="120"/>
      <c r="CN294" s="120"/>
      <c r="CO294" s="120"/>
      <c r="CP294" s="120"/>
      <c r="CQ294" s="120"/>
      <c r="CR294" s="120"/>
      <c r="CS294" s="120"/>
      <c r="CT294" s="120"/>
      <c r="CU294" s="120"/>
      <c r="CV294" s="120"/>
      <c r="CW294" s="120"/>
      <c r="CX294" s="120"/>
      <c r="CY294" s="120"/>
      <c r="CZ294" s="120"/>
      <c r="DA294" s="120"/>
      <c r="DB294" s="120"/>
      <c r="DC294" s="120"/>
      <c r="DD294" s="120"/>
      <c r="DE294" s="120"/>
      <c r="DF294" s="120"/>
      <c r="DG294" s="120"/>
      <c r="DH294" s="120"/>
      <c r="DI294" s="120"/>
      <c r="DJ294" s="120"/>
      <c r="DK294" s="120"/>
      <c r="DL294" s="120"/>
      <c r="DM294" s="120"/>
      <c r="DN294" s="120"/>
      <c r="DO294" s="120"/>
      <c r="DP294" s="120"/>
      <c r="DQ294" s="120"/>
      <c r="DR294" s="120"/>
      <c r="DS294" s="120"/>
      <c r="DT294" s="120"/>
      <c r="DU294" s="120"/>
      <c r="DV294" s="120"/>
      <c r="DW294" s="120"/>
      <c r="DX294" s="120"/>
      <c r="DY294" s="120"/>
      <c r="DZ294" s="120"/>
      <c r="EA294" s="120"/>
      <c r="EB294" s="120"/>
      <c r="EC294" s="120"/>
      <c r="ED294" s="120"/>
      <c r="EE294" s="120"/>
      <c r="EF294" s="120"/>
      <c r="EG294" s="120"/>
      <c r="EH294" s="120"/>
      <c r="EI294" s="120"/>
      <c r="EJ294" s="120"/>
      <c r="EK294" s="120"/>
      <c r="EL294" s="120"/>
      <c r="EM294" s="120"/>
      <c r="EN294" s="120"/>
      <c r="EO294" s="120"/>
      <c r="EP294" s="120"/>
      <c r="EQ294" s="120"/>
      <c r="ER294" s="120"/>
      <c r="ES294" s="120"/>
      <c r="ET294" s="120"/>
      <c r="EU294" s="120"/>
      <c r="EV294" s="120"/>
      <c r="EW294" s="120"/>
      <c r="EX294" s="120"/>
      <c r="EY294" s="120"/>
      <c r="EZ294" s="120"/>
      <c r="FA294" s="120"/>
      <c r="FB294" s="120"/>
      <c r="FC294" s="120"/>
      <c r="FD294" s="120"/>
      <c r="FE294" s="120"/>
      <c r="FF294" s="120"/>
      <c r="FG294" s="120"/>
      <c r="FH294" s="120"/>
      <c r="FI294" s="120"/>
      <c r="FJ294" s="120"/>
      <c r="FK294" s="120"/>
      <c r="FL294" s="120"/>
      <c r="FM294" s="120"/>
      <c r="FN294" s="120"/>
      <c r="FO294" s="120"/>
      <c r="FP294" s="120"/>
      <c r="FQ294" s="120"/>
      <c r="FR294" s="120"/>
      <c r="FS294" s="120"/>
      <c r="FT294" s="120"/>
      <c r="FU294" s="120"/>
      <c r="FV294" s="120"/>
      <c r="FW294" s="120"/>
      <c r="FX294" s="120"/>
      <c r="FY294" s="120"/>
      <c r="FZ294" s="120"/>
      <c r="GA294" s="120"/>
      <c r="GB294" s="120"/>
      <c r="GC294" s="120"/>
      <c r="GD294" s="120"/>
      <c r="GE294" s="120"/>
      <c r="GF294" s="120"/>
      <c r="GG294" s="120"/>
      <c r="GH294" s="120"/>
      <c r="GI294" s="120"/>
      <c r="GJ294" s="120"/>
      <c r="GK294" s="120"/>
      <c r="GL294" s="120"/>
      <c r="GM294" s="120"/>
      <c r="GN294" s="120"/>
      <c r="GO294" s="120"/>
      <c r="GP294" s="120"/>
      <c r="GQ294" s="120"/>
      <c r="GR294" s="120"/>
      <c r="GS294" s="120"/>
      <c r="GT294" s="120"/>
      <c r="GU294" s="120"/>
      <c r="GV294" s="120"/>
      <c r="GW294" s="120"/>
      <c r="GX294" s="120"/>
      <c r="GY294" s="120"/>
      <c r="GZ294" s="120"/>
      <c r="HA294" s="120"/>
      <c r="HB294" s="120"/>
      <c r="HC294" s="120"/>
      <c r="HD294" s="120"/>
      <c r="HE294" s="120"/>
      <c r="HF294" s="120"/>
      <c r="HG294" s="120"/>
      <c r="HH294" s="120"/>
      <c r="HI294" s="120"/>
      <c r="HJ294" s="120"/>
      <c r="HK294" s="120"/>
      <c r="HL294" s="120"/>
      <c r="HM294" s="120"/>
      <c r="HN294" s="120"/>
      <c r="HO294" s="120"/>
      <c r="HP294" s="120"/>
      <c r="HQ294" s="120"/>
      <c r="HR294" s="120"/>
      <c r="HS294" s="120"/>
      <c r="HT294" s="120"/>
      <c r="HU294" s="120"/>
      <c r="HV294" s="120"/>
      <c r="HW294" s="120"/>
      <c r="HX294" s="120"/>
      <c r="HY294" s="120"/>
      <c r="HZ294" s="120"/>
      <c r="IA294" s="120"/>
      <c r="IB294" s="120"/>
      <c r="IC294" s="120"/>
      <c r="ID294" s="120"/>
      <c r="IE294" s="120"/>
      <c r="IF294" s="120"/>
      <c r="IG294" s="120"/>
      <c r="IH294" s="120"/>
      <c r="II294" s="120"/>
      <c r="IJ294" s="120"/>
      <c r="IK294" s="120"/>
      <c r="IL294" s="120"/>
      <c r="IM294" s="120"/>
    </row>
    <row r="295" spans="2:247" ht="20.25" customHeight="1" x14ac:dyDescent="0.25">
      <c r="B295" s="83" t="s">
        <v>92</v>
      </c>
      <c r="C295" s="25" t="s">
        <v>85</v>
      </c>
      <c r="D295" s="25">
        <v>15322</v>
      </c>
      <c r="E295" s="133">
        <v>15068</v>
      </c>
      <c r="F295" s="75">
        <f>IF((E295/D295*100)&gt;100,"100",E295/D295*100)</f>
        <v>98.342252969586212</v>
      </c>
      <c r="G295" s="702"/>
      <c r="H295" s="717"/>
      <c r="I295" s="718"/>
      <c r="J295" s="718"/>
      <c r="K295" s="718"/>
      <c r="L295" s="718"/>
      <c r="M295" s="718"/>
      <c r="N295" s="718"/>
      <c r="O295" s="718"/>
      <c r="P295" s="718"/>
      <c r="Q295" s="718"/>
      <c r="R295" s="718"/>
      <c r="S295" s="718"/>
      <c r="T295" s="718"/>
      <c r="U295" s="718"/>
      <c r="V295" s="718"/>
      <c r="W295" s="718"/>
      <c r="X295" s="718"/>
      <c r="Y295" s="718"/>
      <c r="Z295" s="718"/>
      <c r="AA295" s="718"/>
      <c r="AB295" s="718"/>
      <c r="AC295" s="718"/>
      <c r="AD295" s="718"/>
      <c r="AE295" s="718"/>
      <c r="AF295" s="718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20"/>
      <c r="AV295" s="120"/>
      <c r="AW295" s="120"/>
      <c r="AX295" s="120"/>
      <c r="AY295" s="120"/>
      <c r="AZ295" s="120"/>
      <c r="BA295" s="120"/>
      <c r="BB295" s="120"/>
      <c r="BC295" s="120"/>
      <c r="BD295" s="120"/>
      <c r="BE295" s="120"/>
      <c r="BF295" s="120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20"/>
      <c r="BS295" s="120"/>
      <c r="BT295" s="120"/>
      <c r="BU295" s="120"/>
      <c r="BV295" s="120"/>
      <c r="BW295" s="120"/>
      <c r="BX295" s="120"/>
      <c r="BY295" s="120"/>
      <c r="BZ295" s="120"/>
      <c r="CA295" s="120"/>
      <c r="CB295" s="120"/>
      <c r="CC295" s="120"/>
      <c r="CD295" s="120"/>
      <c r="CE295" s="120"/>
      <c r="CF295" s="120"/>
      <c r="CG295" s="120"/>
      <c r="CH295" s="120"/>
      <c r="CI295" s="120"/>
      <c r="CJ295" s="120"/>
      <c r="CK295" s="120"/>
      <c r="CL295" s="120"/>
      <c r="CM295" s="120"/>
      <c r="CN295" s="120"/>
      <c r="CO295" s="120"/>
      <c r="CP295" s="120"/>
      <c r="CQ295" s="120"/>
      <c r="CR295" s="120"/>
      <c r="CS295" s="120"/>
      <c r="CT295" s="120"/>
      <c r="CU295" s="120"/>
      <c r="CV295" s="120"/>
      <c r="CW295" s="120"/>
      <c r="CX295" s="120"/>
      <c r="CY295" s="120"/>
      <c r="CZ295" s="120"/>
      <c r="DA295" s="120"/>
      <c r="DB295" s="120"/>
      <c r="DC295" s="120"/>
      <c r="DD295" s="120"/>
      <c r="DE295" s="120"/>
      <c r="DF295" s="120"/>
      <c r="DG295" s="120"/>
      <c r="DH295" s="120"/>
      <c r="DI295" s="120"/>
      <c r="DJ295" s="120"/>
      <c r="DK295" s="120"/>
      <c r="DL295" s="120"/>
      <c r="DM295" s="120"/>
      <c r="DN295" s="120"/>
      <c r="DO295" s="120"/>
      <c r="DP295" s="120"/>
      <c r="DQ295" s="120"/>
      <c r="DR295" s="120"/>
      <c r="DS295" s="120"/>
      <c r="DT295" s="120"/>
      <c r="DU295" s="120"/>
      <c r="DV295" s="120"/>
      <c r="DW295" s="120"/>
      <c r="DX295" s="120"/>
      <c r="DY295" s="120"/>
      <c r="DZ295" s="120"/>
      <c r="EA295" s="120"/>
      <c r="EB295" s="120"/>
      <c r="EC295" s="120"/>
      <c r="ED295" s="120"/>
      <c r="EE295" s="120"/>
      <c r="EF295" s="120"/>
      <c r="EG295" s="120"/>
      <c r="EH295" s="120"/>
      <c r="EI295" s="120"/>
      <c r="EJ295" s="120"/>
      <c r="EK295" s="120"/>
      <c r="EL295" s="120"/>
      <c r="EM295" s="120"/>
      <c r="EN295" s="120"/>
      <c r="EO295" s="120"/>
      <c r="EP295" s="120"/>
      <c r="EQ295" s="120"/>
      <c r="ER295" s="120"/>
      <c r="ES295" s="120"/>
      <c r="ET295" s="120"/>
      <c r="EU295" s="120"/>
      <c r="EV295" s="120"/>
      <c r="EW295" s="120"/>
      <c r="EX295" s="120"/>
      <c r="EY295" s="120"/>
      <c r="EZ295" s="120"/>
      <c r="FA295" s="120"/>
      <c r="FB295" s="120"/>
      <c r="FC295" s="120"/>
      <c r="FD295" s="120"/>
      <c r="FE295" s="120"/>
      <c r="FF295" s="120"/>
      <c r="FG295" s="120"/>
      <c r="FH295" s="120"/>
      <c r="FI295" s="120"/>
      <c r="FJ295" s="120"/>
      <c r="FK295" s="120"/>
      <c r="FL295" s="120"/>
      <c r="FM295" s="120"/>
      <c r="FN295" s="120"/>
      <c r="FO295" s="120"/>
      <c r="FP295" s="120"/>
      <c r="FQ295" s="120"/>
      <c r="FR295" s="120"/>
      <c r="FS295" s="120"/>
      <c r="FT295" s="120"/>
      <c r="FU295" s="120"/>
      <c r="FV295" s="120"/>
      <c r="FW295" s="120"/>
      <c r="FX295" s="120"/>
      <c r="FY295" s="120"/>
      <c r="FZ295" s="120"/>
      <c r="GA295" s="120"/>
      <c r="GB295" s="120"/>
      <c r="GC295" s="120"/>
      <c r="GD295" s="120"/>
      <c r="GE295" s="120"/>
      <c r="GF295" s="120"/>
      <c r="GG295" s="120"/>
      <c r="GH295" s="120"/>
      <c r="GI295" s="120"/>
      <c r="GJ295" s="120"/>
      <c r="GK295" s="120"/>
      <c r="GL295" s="120"/>
      <c r="GM295" s="120"/>
      <c r="GN295" s="120"/>
      <c r="GO295" s="120"/>
      <c r="GP295" s="120"/>
      <c r="GQ295" s="120"/>
      <c r="GR295" s="120"/>
      <c r="GS295" s="120"/>
      <c r="GT295" s="120"/>
      <c r="GU295" s="120"/>
      <c r="GV295" s="120"/>
      <c r="GW295" s="120"/>
      <c r="GX295" s="120"/>
      <c r="GY295" s="120"/>
      <c r="GZ295" s="120"/>
      <c r="HA295" s="120"/>
      <c r="HB295" s="120"/>
      <c r="HC295" s="120"/>
      <c r="HD295" s="120"/>
      <c r="HE295" s="120"/>
      <c r="HF295" s="120"/>
      <c r="HG295" s="120"/>
      <c r="HH295" s="120"/>
      <c r="HI295" s="120"/>
      <c r="HJ295" s="120"/>
      <c r="HK295" s="120"/>
      <c r="HL295" s="120"/>
      <c r="HM295" s="120"/>
      <c r="HN295" s="120"/>
      <c r="HO295" s="120"/>
      <c r="HP295" s="120"/>
      <c r="HQ295" s="120"/>
      <c r="HR295" s="120"/>
      <c r="HS295" s="120"/>
      <c r="HT295" s="120"/>
      <c r="HU295" s="120"/>
      <c r="HV295" s="120"/>
      <c r="HW295" s="120"/>
      <c r="HX295" s="120"/>
      <c r="HY295" s="120"/>
      <c r="HZ295" s="120"/>
      <c r="IA295" s="120"/>
      <c r="IB295" s="120"/>
      <c r="IC295" s="120"/>
      <c r="ID295" s="120"/>
      <c r="IE295" s="120"/>
      <c r="IF295" s="120"/>
      <c r="IG295" s="120"/>
      <c r="IH295" s="120"/>
      <c r="II295" s="120"/>
      <c r="IJ295" s="120"/>
      <c r="IK295" s="120"/>
      <c r="IL295" s="120"/>
      <c r="IM295" s="120"/>
    </row>
    <row r="296" spans="2:247" x14ac:dyDescent="0.25">
      <c r="B296" s="824" t="s">
        <v>93</v>
      </c>
      <c r="C296" s="824"/>
      <c r="D296" s="824"/>
      <c r="E296" s="824"/>
      <c r="F296" s="824"/>
      <c r="G296" s="702"/>
      <c r="H296" s="717"/>
      <c r="I296" s="718"/>
      <c r="J296" s="718"/>
      <c r="K296" s="718"/>
      <c r="L296" s="718"/>
      <c r="M296" s="718"/>
      <c r="N296" s="718"/>
      <c r="O296" s="718"/>
      <c r="P296" s="718"/>
      <c r="Q296" s="718"/>
      <c r="R296" s="718"/>
      <c r="S296" s="718"/>
      <c r="T296" s="718"/>
      <c r="U296" s="718"/>
      <c r="V296" s="718"/>
      <c r="W296" s="718"/>
      <c r="X296" s="718"/>
      <c r="Y296" s="718"/>
      <c r="Z296" s="718"/>
      <c r="AA296" s="718"/>
      <c r="AB296" s="718"/>
      <c r="AC296" s="718"/>
      <c r="AD296" s="718"/>
      <c r="AE296" s="718"/>
      <c r="AF296" s="718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20"/>
      <c r="AV296" s="120"/>
      <c r="AW296" s="120"/>
      <c r="AX296" s="120"/>
      <c r="AY296" s="120"/>
      <c r="AZ296" s="120"/>
      <c r="BA296" s="120"/>
      <c r="BB296" s="120"/>
      <c r="BC296" s="120"/>
      <c r="BD296" s="120"/>
      <c r="BE296" s="120"/>
      <c r="BF296" s="120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20"/>
      <c r="BS296" s="120"/>
      <c r="BT296" s="120"/>
      <c r="BU296" s="120"/>
      <c r="BV296" s="120"/>
      <c r="BW296" s="120"/>
      <c r="BX296" s="120"/>
      <c r="BY296" s="120"/>
      <c r="BZ296" s="120"/>
      <c r="CA296" s="120"/>
      <c r="CB296" s="120"/>
      <c r="CC296" s="120"/>
      <c r="CD296" s="120"/>
      <c r="CE296" s="120"/>
      <c r="CF296" s="120"/>
      <c r="CG296" s="120"/>
      <c r="CH296" s="120"/>
      <c r="CI296" s="120"/>
      <c r="CJ296" s="120"/>
      <c r="CK296" s="120"/>
      <c r="CL296" s="120"/>
      <c r="CM296" s="120"/>
      <c r="CN296" s="120"/>
      <c r="CO296" s="120"/>
      <c r="CP296" s="120"/>
      <c r="CQ296" s="120"/>
      <c r="CR296" s="120"/>
      <c r="CS296" s="120"/>
      <c r="CT296" s="120"/>
      <c r="CU296" s="120"/>
      <c r="CV296" s="120"/>
      <c r="CW296" s="120"/>
      <c r="CX296" s="120"/>
      <c r="CY296" s="120"/>
      <c r="CZ296" s="120"/>
      <c r="DA296" s="120"/>
      <c r="DB296" s="120"/>
      <c r="DC296" s="120"/>
      <c r="DD296" s="120"/>
      <c r="DE296" s="120"/>
      <c r="DF296" s="120"/>
      <c r="DG296" s="120"/>
      <c r="DH296" s="120"/>
      <c r="DI296" s="120"/>
      <c r="DJ296" s="120"/>
      <c r="DK296" s="120"/>
      <c r="DL296" s="120"/>
      <c r="DM296" s="120"/>
      <c r="DN296" s="120"/>
      <c r="DO296" s="120"/>
      <c r="DP296" s="120"/>
      <c r="DQ296" s="120"/>
      <c r="DR296" s="120"/>
      <c r="DS296" s="120"/>
      <c r="DT296" s="120"/>
      <c r="DU296" s="120"/>
      <c r="DV296" s="120"/>
      <c r="DW296" s="120"/>
      <c r="DX296" s="120"/>
      <c r="DY296" s="120"/>
      <c r="DZ296" s="120"/>
      <c r="EA296" s="120"/>
      <c r="EB296" s="120"/>
      <c r="EC296" s="120"/>
      <c r="ED296" s="120"/>
      <c r="EE296" s="120"/>
      <c r="EF296" s="120"/>
      <c r="EG296" s="120"/>
      <c r="EH296" s="120"/>
      <c r="EI296" s="120"/>
      <c r="EJ296" s="120"/>
      <c r="EK296" s="120"/>
      <c r="EL296" s="120"/>
      <c r="EM296" s="120"/>
      <c r="EN296" s="120"/>
      <c r="EO296" s="120"/>
      <c r="EP296" s="120"/>
      <c r="EQ296" s="120"/>
      <c r="ER296" s="120"/>
      <c r="ES296" s="120"/>
      <c r="ET296" s="120"/>
      <c r="EU296" s="120"/>
      <c r="EV296" s="120"/>
      <c r="EW296" s="120"/>
      <c r="EX296" s="120"/>
      <c r="EY296" s="120"/>
      <c r="EZ296" s="120"/>
      <c r="FA296" s="120"/>
      <c r="FB296" s="120"/>
      <c r="FC296" s="120"/>
      <c r="FD296" s="120"/>
      <c r="FE296" s="120"/>
      <c r="FF296" s="120"/>
      <c r="FG296" s="120"/>
      <c r="FH296" s="120"/>
      <c r="FI296" s="120"/>
      <c r="FJ296" s="120"/>
      <c r="FK296" s="120"/>
      <c r="FL296" s="120"/>
      <c r="FM296" s="120"/>
      <c r="FN296" s="120"/>
      <c r="FO296" s="120"/>
      <c r="FP296" s="120"/>
      <c r="FQ296" s="120"/>
      <c r="FR296" s="120"/>
      <c r="FS296" s="120"/>
      <c r="FT296" s="120"/>
      <c r="FU296" s="120"/>
      <c r="FV296" s="120"/>
      <c r="FW296" s="120"/>
      <c r="FX296" s="120"/>
      <c r="FY296" s="120"/>
      <c r="FZ296" s="120"/>
      <c r="GA296" s="120"/>
      <c r="GB296" s="120"/>
      <c r="GC296" s="120"/>
      <c r="GD296" s="120"/>
      <c r="GE296" s="120"/>
      <c r="GF296" s="120"/>
      <c r="GG296" s="120"/>
      <c r="GH296" s="120"/>
      <c r="GI296" s="120"/>
      <c r="GJ296" s="120"/>
      <c r="GK296" s="120"/>
      <c r="GL296" s="120"/>
      <c r="GM296" s="120"/>
      <c r="GN296" s="120"/>
      <c r="GO296" s="120"/>
      <c r="GP296" s="120"/>
      <c r="GQ296" s="120"/>
      <c r="GR296" s="120"/>
      <c r="GS296" s="120"/>
      <c r="GT296" s="120"/>
      <c r="GU296" s="120"/>
      <c r="GV296" s="120"/>
      <c r="GW296" s="120"/>
      <c r="GX296" s="120"/>
      <c r="GY296" s="120"/>
      <c r="GZ296" s="120"/>
      <c r="HA296" s="120"/>
      <c r="HB296" s="120"/>
      <c r="HC296" s="120"/>
      <c r="HD296" s="120"/>
      <c r="HE296" s="120"/>
      <c r="HF296" s="120"/>
      <c r="HG296" s="120"/>
      <c r="HH296" s="120"/>
      <c r="HI296" s="120"/>
      <c r="HJ296" s="120"/>
      <c r="HK296" s="120"/>
      <c r="HL296" s="120"/>
      <c r="HM296" s="120"/>
      <c r="HN296" s="120"/>
      <c r="HO296" s="120"/>
      <c r="HP296" s="120"/>
      <c r="HQ296" s="120"/>
      <c r="HR296" s="120"/>
      <c r="HS296" s="120"/>
      <c r="HT296" s="120"/>
      <c r="HU296" s="120"/>
      <c r="HV296" s="120"/>
      <c r="HW296" s="120"/>
      <c r="HX296" s="120"/>
      <c r="HY296" s="120"/>
      <c r="HZ296" s="120"/>
      <c r="IA296" s="120"/>
      <c r="IB296" s="120"/>
      <c r="IC296" s="120"/>
      <c r="ID296" s="120"/>
      <c r="IE296" s="120"/>
      <c r="IF296" s="120"/>
      <c r="IG296" s="120"/>
      <c r="IH296" s="120"/>
      <c r="II296" s="120"/>
      <c r="IJ296" s="120"/>
      <c r="IK296" s="120"/>
      <c r="IL296" s="120"/>
      <c r="IM296" s="120"/>
    </row>
    <row r="297" spans="2:247" ht="19.5" customHeight="1" x14ac:dyDescent="0.25">
      <c r="B297" s="135" t="s">
        <v>94</v>
      </c>
      <c r="C297" s="25"/>
      <c r="D297" s="25"/>
      <c r="E297" s="97"/>
      <c r="F297" s="75"/>
      <c r="G297" s="702"/>
      <c r="H297" s="717"/>
      <c r="I297" s="718"/>
      <c r="J297" s="718"/>
      <c r="K297" s="718"/>
      <c r="L297" s="718"/>
      <c r="M297" s="718"/>
      <c r="N297" s="718"/>
      <c r="O297" s="718"/>
      <c r="P297" s="718"/>
      <c r="Q297" s="718"/>
      <c r="R297" s="718"/>
      <c r="S297" s="718"/>
      <c r="T297" s="718"/>
      <c r="U297" s="718"/>
      <c r="V297" s="718"/>
      <c r="W297" s="718"/>
      <c r="X297" s="718"/>
      <c r="Y297" s="718"/>
      <c r="Z297" s="718"/>
      <c r="AA297" s="718"/>
      <c r="AB297" s="718"/>
      <c r="AC297" s="718"/>
      <c r="AD297" s="718"/>
      <c r="AE297" s="718"/>
      <c r="AF297" s="718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20"/>
      <c r="AV297" s="120"/>
      <c r="AW297" s="120"/>
      <c r="AX297" s="120"/>
      <c r="AY297" s="120"/>
      <c r="AZ297" s="120"/>
      <c r="BA297" s="120"/>
      <c r="BB297" s="120"/>
      <c r="BC297" s="120"/>
      <c r="BD297" s="120"/>
      <c r="BE297" s="120"/>
      <c r="BF297" s="120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20"/>
      <c r="BS297" s="120"/>
      <c r="BT297" s="120"/>
      <c r="BU297" s="120"/>
      <c r="BV297" s="120"/>
      <c r="BW297" s="120"/>
      <c r="BX297" s="120"/>
      <c r="BY297" s="120"/>
      <c r="BZ297" s="120"/>
      <c r="CA297" s="120"/>
      <c r="CB297" s="120"/>
      <c r="CC297" s="120"/>
      <c r="CD297" s="120"/>
      <c r="CE297" s="120"/>
      <c r="CF297" s="120"/>
      <c r="CG297" s="120"/>
      <c r="CH297" s="120"/>
      <c r="CI297" s="120"/>
      <c r="CJ297" s="120"/>
      <c r="CK297" s="120"/>
      <c r="CL297" s="120"/>
      <c r="CM297" s="120"/>
      <c r="CN297" s="120"/>
      <c r="CO297" s="120"/>
      <c r="CP297" s="120"/>
      <c r="CQ297" s="120"/>
      <c r="CR297" s="120"/>
      <c r="CS297" s="120"/>
      <c r="CT297" s="120"/>
      <c r="CU297" s="120"/>
      <c r="CV297" s="120"/>
      <c r="CW297" s="120"/>
      <c r="CX297" s="120"/>
      <c r="CY297" s="120"/>
      <c r="CZ297" s="120"/>
      <c r="DA297" s="120"/>
      <c r="DB297" s="120"/>
      <c r="DC297" s="120"/>
      <c r="DD297" s="120"/>
      <c r="DE297" s="120"/>
      <c r="DF297" s="120"/>
      <c r="DG297" s="120"/>
      <c r="DH297" s="120"/>
      <c r="DI297" s="120"/>
      <c r="DJ297" s="120"/>
      <c r="DK297" s="120"/>
      <c r="DL297" s="120"/>
      <c r="DM297" s="120"/>
      <c r="DN297" s="120"/>
      <c r="DO297" s="120"/>
      <c r="DP297" s="120"/>
      <c r="DQ297" s="120"/>
      <c r="DR297" s="120"/>
      <c r="DS297" s="120"/>
      <c r="DT297" s="120"/>
      <c r="DU297" s="120"/>
      <c r="DV297" s="120"/>
      <c r="DW297" s="120"/>
      <c r="DX297" s="120"/>
      <c r="DY297" s="120"/>
      <c r="DZ297" s="120"/>
      <c r="EA297" s="120"/>
      <c r="EB297" s="120"/>
      <c r="EC297" s="120"/>
      <c r="ED297" s="120"/>
      <c r="EE297" s="120"/>
      <c r="EF297" s="120"/>
      <c r="EG297" s="120"/>
      <c r="EH297" s="120"/>
      <c r="EI297" s="120"/>
      <c r="EJ297" s="120"/>
      <c r="EK297" s="120"/>
      <c r="EL297" s="120"/>
      <c r="EM297" s="120"/>
      <c r="EN297" s="120"/>
      <c r="EO297" s="120"/>
      <c r="EP297" s="120"/>
      <c r="EQ297" s="120"/>
      <c r="ER297" s="120"/>
      <c r="ES297" s="120"/>
      <c r="ET297" s="120"/>
      <c r="EU297" s="120"/>
      <c r="EV297" s="120"/>
      <c r="EW297" s="120"/>
      <c r="EX297" s="120"/>
      <c r="EY297" s="120"/>
      <c r="EZ297" s="120"/>
      <c r="FA297" s="120"/>
      <c r="FB297" s="120"/>
      <c r="FC297" s="120"/>
      <c r="FD297" s="120"/>
      <c r="FE297" s="120"/>
      <c r="FF297" s="120"/>
      <c r="FG297" s="120"/>
      <c r="FH297" s="120"/>
      <c r="FI297" s="120"/>
      <c r="FJ297" s="120"/>
      <c r="FK297" s="120"/>
      <c r="FL297" s="120"/>
      <c r="FM297" s="120"/>
      <c r="FN297" s="120"/>
      <c r="FO297" s="120"/>
      <c r="FP297" s="120"/>
      <c r="FQ297" s="120"/>
      <c r="FR297" s="120"/>
      <c r="FS297" s="120"/>
      <c r="FT297" s="120"/>
      <c r="FU297" s="120"/>
      <c r="FV297" s="120"/>
      <c r="FW297" s="120"/>
      <c r="FX297" s="120"/>
      <c r="FY297" s="120"/>
      <c r="FZ297" s="120"/>
      <c r="GA297" s="120"/>
      <c r="GB297" s="120"/>
      <c r="GC297" s="120"/>
      <c r="GD297" s="120"/>
      <c r="GE297" s="120"/>
      <c r="GF297" s="120"/>
      <c r="GG297" s="120"/>
      <c r="GH297" s="120"/>
      <c r="GI297" s="120"/>
      <c r="GJ297" s="120"/>
      <c r="GK297" s="120"/>
      <c r="GL297" s="120"/>
      <c r="GM297" s="120"/>
      <c r="GN297" s="120"/>
      <c r="GO297" s="120"/>
      <c r="GP297" s="120"/>
      <c r="GQ297" s="120"/>
      <c r="GR297" s="120"/>
      <c r="GS297" s="120"/>
      <c r="GT297" s="120"/>
      <c r="GU297" s="120"/>
      <c r="GV297" s="120"/>
      <c r="GW297" s="120"/>
      <c r="GX297" s="120"/>
      <c r="GY297" s="120"/>
      <c r="GZ297" s="120"/>
      <c r="HA297" s="120"/>
      <c r="HB297" s="120"/>
      <c r="HC297" s="120"/>
      <c r="HD297" s="120"/>
      <c r="HE297" s="120"/>
      <c r="HF297" s="120"/>
      <c r="HG297" s="120"/>
      <c r="HH297" s="120"/>
      <c r="HI297" s="120"/>
      <c r="HJ297" s="120"/>
      <c r="HK297" s="120"/>
      <c r="HL297" s="120"/>
      <c r="HM297" s="120"/>
      <c r="HN297" s="120"/>
      <c r="HO297" s="120"/>
      <c r="HP297" s="120"/>
      <c r="HQ297" s="120"/>
      <c r="HR297" s="120"/>
      <c r="HS297" s="120"/>
      <c r="HT297" s="120"/>
      <c r="HU297" s="120"/>
      <c r="HV297" s="120"/>
      <c r="HW297" s="120"/>
      <c r="HX297" s="120"/>
      <c r="HY297" s="120"/>
      <c r="HZ297" s="120"/>
      <c r="IA297" s="120"/>
      <c r="IB297" s="120"/>
      <c r="IC297" s="120"/>
      <c r="ID297" s="120"/>
      <c r="IE297" s="120"/>
      <c r="IF297" s="120"/>
      <c r="IG297" s="120"/>
      <c r="IH297" s="120"/>
      <c r="II297" s="120"/>
      <c r="IJ297" s="120"/>
      <c r="IK297" s="120"/>
      <c r="IL297" s="120"/>
      <c r="IM297" s="120"/>
    </row>
    <row r="298" spans="2:247" ht="30.75" customHeight="1" x14ac:dyDescent="0.25">
      <c r="B298" s="69" t="s">
        <v>95</v>
      </c>
      <c r="C298" s="25" t="s">
        <v>52</v>
      </c>
      <c r="D298" s="28">
        <f>17/37*100</f>
        <v>45.945945945945951</v>
      </c>
      <c r="E298" s="28">
        <f>17/37*100</f>
        <v>45.945945945945951</v>
      </c>
      <c r="F298" s="75">
        <f>IF((E298/D298*100)&gt;100,"100",E298/D298*100)</f>
        <v>100</v>
      </c>
      <c r="G298" s="702"/>
      <c r="H298" s="717"/>
      <c r="I298" s="718"/>
      <c r="J298" s="718"/>
      <c r="K298" s="718"/>
      <c r="L298" s="718"/>
      <c r="M298" s="718"/>
      <c r="N298" s="718"/>
      <c r="O298" s="718"/>
      <c r="P298" s="718"/>
      <c r="Q298" s="718"/>
      <c r="R298" s="718"/>
      <c r="S298" s="718"/>
      <c r="T298" s="718"/>
      <c r="U298" s="718"/>
      <c r="V298" s="718"/>
      <c r="W298" s="718"/>
      <c r="X298" s="718"/>
      <c r="Y298" s="718"/>
      <c r="Z298" s="718"/>
      <c r="AA298" s="718"/>
      <c r="AB298" s="718"/>
      <c r="AC298" s="718"/>
      <c r="AD298" s="718"/>
      <c r="AE298" s="718"/>
      <c r="AF298" s="718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20"/>
      <c r="AV298" s="120"/>
      <c r="AW298" s="120"/>
      <c r="AX298" s="120"/>
      <c r="AY298" s="120"/>
      <c r="AZ298" s="120"/>
      <c r="BA298" s="120"/>
      <c r="BB298" s="120"/>
      <c r="BC298" s="120"/>
      <c r="BD298" s="120"/>
      <c r="BE298" s="120"/>
      <c r="BF298" s="120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20"/>
      <c r="BS298" s="120"/>
      <c r="BT298" s="120"/>
      <c r="BU298" s="120"/>
      <c r="BV298" s="120"/>
      <c r="BW298" s="120"/>
      <c r="BX298" s="120"/>
      <c r="BY298" s="120"/>
      <c r="BZ298" s="120"/>
      <c r="CA298" s="120"/>
      <c r="CB298" s="120"/>
      <c r="CC298" s="120"/>
      <c r="CD298" s="120"/>
      <c r="CE298" s="120"/>
      <c r="CF298" s="120"/>
      <c r="CG298" s="120"/>
      <c r="CH298" s="120"/>
      <c r="CI298" s="120"/>
      <c r="CJ298" s="120"/>
      <c r="CK298" s="120"/>
      <c r="CL298" s="120"/>
      <c r="CM298" s="120"/>
      <c r="CN298" s="120"/>
      <c r="CO298" s="120"/>
      <c r="CP298" s="120"/>
      <c r="CQ298" s="120"/>
      <c r="CR298" s="120"/>
      <c r="CS298" s="120"/>
      <c r="CT298" s="120"/>
      <c r="CU298" s="120"/>
      <c r="CV298" s="120"/>
      <c r="CW298" s="120"/>
      <c r="CX298" s="120"/>
      <c r="CY298" s="120"/>
      <c r="CZ298" s="120"/>
      <c r="DA298" s="120"/>
      <c r="DB298" s="120"/>
      <c r="DC298" s="120"/>
      <c r="DD298" s="120"/>
      <c r="DE298" s="120"/>
      <c r="DF298" s="120"/>
      <c r="DG298" s="120"/>
      <c r="DH298" s="120"/>
      <c r="DI298" s="120"/>
      <c r="DJ298" s="120"/>
      <c r="DK298" s="120"/>
      <c r="DL298" s="120"/>
      <c r="DM298" s="120"/>
      <c r="DN298" s="120"/>
      <c r="DO298" s="120"/>
      <c r="DP298" s="120"/>
      <c r="DQ298" s="120"/>
      <c r="DR298" s="120"/>
      <c r="DS298" s="120"/>
      <c r="DT298" s="120"/>
      <c r="DU298" s="120"/>
      <c r="DV298" s="120"/>
      <c r="DW298" s="120"/>
      <c r="DX298" s="120"/>
      <c r="DY298" s="120"/>
      <c r="DZ298" s="120"/>
      <c r="EA298" s="120"/>
      <c r="EB298" s="120"/>
      <c r="EC298" s="120"/>
      <c r="ED298" s="120"/>
      <c r="EE298" s="120"/>
      <c r="EF298" s="120"/>
      <c r="EG298" s="120"/>
      <c r="EH298" s="120"/>
      <c r="EI298" s="120"/>
      <c r="EJ298" s="120"/>
      <c r="EK298" s="120"/>
      <c r="EL298" s="120"/>
      <c r="EM298" s="120"/>
      <c r="EN298" s="120"/>
      <c r="EO298" s="120"/>
      <c r="EP298" s="120"/>
      <c r="EQ298" s="120"/>
      <c r="ER298" s="120"/>
      <c r="ES298" s="120"/>
      <c r="ET298" s="120"/>
      <c r="EU298" s="120"/>
      <c r="EV298" s="120"/>
      <c r="EW298" s="120"/>
      <c r="EX298" s="120"/>
      <c r="EY298" s="120"/>
      <c r="EZ298" s="120"/>
      <c r="FA298" s="120"/>
      <c r="FB298" s="120"/>
      <c r="FC298" s="120"/>
      <c r="FD298" s="120"/>
      <c r="FE298" s="120"/>
      <c r="FF298" s="120"/>
      <c r="FG298" s="120"/>
      <c r="FH298" s="120"/>
      <c r="FI298" s="120"/>
      <c r="FJ298" s="120"/>
      <c r="FK298" s="120"/>
      <c r="FL298" s="120"/>
      <c r="FM298" s="120"/>
      <c r="FN298" s="120"/>
      <c r="FO298" s="120"/>
      <c r="FP298" s="120"/>
      <c r="FQ298" s="120"/>
      <c r="FR298" s="120"/>
      <c r="FS298" s="120"/>
      <c r="FT298" s="120"/>
      <c r="FU298" s="120"/>
      <c r="FV298" s="120"/>
      <c r="FW298" s="120"/>
      <c r="FX298" s="120"/>
      <c r="FY298" s="120"/>
      <c r="FZ298" s="120"/>
      <c r="GA298" s="120"/>
      <c r="GB298" s="120"/>
      <c r="GC298" s="120"/>
      <c r="GD298" s="120"/>
      <c r="GE298" s="120"/>
      <c r="GF298" s="120"/>
      <c r="GG298" s="120"/>
      <c r="GH298" s="120"/>
      <c r="GI298" s="120"/>
      <c r="GJ298" s="120"/>
      <c r="GK298" s="120"/>
      <c r="GL298" s="120"/>
      <c r="GM298" s="120"/>
      <c r="GN298" s="120"/>
      <c r="GO298" s="120"/>
      <c r="GP298" s="120"/>
      <c r="GQ298" s="120"/>
      <c r="GR298" s="120"/>
      <c r="GS298" s="120"/>
      <c r="GT298" s="120"/>
      <c r="GU298" s="120"/>
      <c r="GV298" s="120"/>
      <c r="GW298" s="120"/>
      <c r="GX298" s="120"/>
      <c r="GY298" s="120"/>
      <c r="GZ298" s="120"/>
      <c r="HA298" s="120"/>
      <c r="HB298" s="120"/>
      <c r="HC298" s="120"/>
      <c r="HD298" s="120"/>
      <c r="HE298" s="120"/>
      <c r="HF298" s="120"/>
      <c r="HG298" s="120"/>
      <c r="HH298" s="120"/>
      <c r="HI298" s="120"/>
      <c r="HJ298" s="120"/>
      <c r="HK298" s="120"/>
      <c r="HL298" s="120"/>
      <c r="HM298" s="120"/>
      <c r="HN298" s="120"/>
      <c r="HO298" s="120"/>
      <c r="HP298" s="120"/>
      <c r="HQ298" s="120"/>
      <c r="HR298" s="120"/>
      <c r="HS298" s="120"/>
      <c r="HT298" s="120"/>
      <c r="HU298" s="120"/>
      <c r="HV298" s="120"/>
      <c r="HW298" s="120"/>
      <c r="HX298" s="120"/>
      <c r="HY298" s="120"/>
      <c r="HZ298" s="120"/>
      <c r="IA298" s="120"/>
      <c r="IB298" s="120"/>
      <c r="IC298" s="120"/>
      <c r="ID298" s="120"/>
      <c r="IE298" s="120"/>
      <c r="IF298" s="120"/>
      <c r="IG298" s="120"/>
      <c r="IH298" s="120"/>
      <c r="II298" s="120"/>
      <c r="IJ298" s="120"/>
      <c r="IK298" s="120"/>
      <c r="IL298" s="120"/>
      <c r="IM298" s="120"/>
    </row>
    <row r="299" spans="2:247" ht="33" customHeight="1" x14ac:dyDescent="0.25">
      <c r="B299" s="69" t="s">
        <v>96</v>
      </c>
      <c r="C299" s="25" t="s">
        <v>52</v>
      </c>
      <c r="D299" s="28">
        <f>1/39*100</f>
        <v>2.5641025641025639</v>
      </c>
      <c r="E299" s="28">
        <f>1/39*100</f>
        <v>2.5641025641025639</v>
      </c>
      <c r="F299" s="75">
        <f>IF((E299/D299*100)&gt;100,"100",E299/D299*100)</f>
        <v>100</v>
      </c>
      <c r="G299" s="702"/>
      <c r="H299" s="717"/>
      <c r="I299" s="718"/>
      <c r="J299" s="718"/>
      <c r="K299" s="718"/>
      <c r="L299" s="718"/>
      <c r="M299" s="718"/>
      <c r="N299" s="718"/>
      <c r="O299" s="718"/>
      <c r="P299" s="718"/>
      <c r="Q299" s="718"/>
      <c r="R299" s="718"/>
      <c r="S299" s="718"/>
      <c r="T299" s="718"/>
      <c r="U299" s="718"/>
      <c r="V299" s="718"/>
      <c r="W299" s="718"/>
      <c r="X299" s="718"/>
      <c r="Y299" s="718"/>
      <c r="Z299" s="718"/>
      <c r="AA299" s="718"/>
      <c r="AB299" s="718"/>
      <c r="AC299" s="718"/>
      <c r="AD299" s="718"/>
      <c r="AE299" s="718"/>
      <c r="AF299" s="718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20"/>
      <c r="AV299" s="120"/>
      <c r="AW299" s="120"/>
      <c r="AX299" s="120"/>
      <c r="AY299" s="120"/>
      <c r="AZ299" s="120"/>
      <c r="BA299" s="120"/>
      <c r="BB299" s="120"/>
      <c r="BC299" s="120"/>
      <c r="BD299" s="120"/>
      <c r="BE299" s="120"/>
      <c r="BF299" s="120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20"/>
      <c r="BS299" s="120"/>
      <c r="BT299" s="120"/>
      <c r="BU299" s="120"/>
      <c r="BV299" s="120"/>
      <c r="BW299" s="120"/>
      <c r="BX299" s="120"/>
      <c r="BY299" s="120"/>
      <c r="BZ299" s="120"/>
      <c r="CA299" s="120"/>
      <c r="CB299" s="120"/>
      <c r="CC299" s="120"/>
      <c r="CD299" s="120"/>
      <c r="CE299" s="120"/>
      <c r="CF299" s="120"/>
      <c r="CG299" s="120"/>
      <c r="CH299" s="120"/>
      <c r="CI299" s="120"/>
      <c r="CJ299" s="120"/>
      <c r="CK299" s="120"/>
      <c r="CL299" s="120"/>
      <c r="CM299" s="120"/>
      <c r="CN299" s="120"/>
      <c r="CO299" s="120"/>
      <c r="CP299" s="120"/>
      <c r="CQ299" s="120"/>
      <c r="CR299" s="120"/>
      <c r="CS299" s="120"/>
      <c r="CT299" s="120"/>
      <c r="CU299" s="120"/>
      <c r="CV299" s="120"/>
      <c r="CW299" s="120"/>
      <c r="CX299" s="120"/>
      <c r="CY299" s="120"/>
      <c r="CZ299" s="120"/>
      <c r="DA299" s="120"/>
      <c r="DB299" s="120"/>
      <c r="DC299" s="120"/>
      <c r="DD299" s="120"/>
      <c r="DE299" s="120"/>
      <c r="DF299" s="120"/>
      <c r="DG299" s="120"/>
      <c r="DH299" s="120"/>
      <c r="DI299" s="120"/>
      <c r="DJ299" s="120"/>
      <c r="DK299" s="120"/>
      <c r="DL299" s="120"/>
      <c r="DM299" s="120"/>
      <c r="DN299" s="120"/>
      <c r="DO299" s="120"/>
      <c r="DP299" s="120"/>
      <c r="DQ299" s="120"/>
      <c r="DR299" s="120"/>
      <c r="DS299" s="120"/>
      <c r="DT299" s="120"/>
      <c r="DU299" s="120"/>
      <c r="DV299" s="120"/>
      <c r="DW299" s="120"/>
      <c r="DX299" s="120"/>
      <c r="DY299" s="120"/>
      <c r="DZ299" s="120"/>
      <c r="EA299" s="120"/>
      <c r="EB299" s="120"/>
      <c r="EC299" s="120"/>
      <c r="ED299" s="120"/>
      <c r="EE299" s="120"/>
      <c r="EF299" s="120"/>
      <c r="EG299" s="120"/>
      <c r="EH299" s="120"/>
      <c r="EI299" s="120"/>
      <c r="EJ299" s="120"/>
      <c r="EK299" s="120"/>
      <c r="EL299" s="120"/>
      <c r="EM299" s="120"/>
      <c r="EN299" s="120"/>
      <c r="EO299" s="120"/>
      <c r="EP299" s="120"/>
      <c r="EQ299" s="120"/>
      <c r="ER299" s="120"/>
      <c r="ES299" s="120"/>
      <c r="ET299" s="120"/>
      <c r="EU299" s="120"/>
      <c r="EV299" s="120"/>
      <c r="EW299" s="120"/>
      <c r="EX299" s="120"/>
      <c r="EY299" s="120"/>
      <c r="EZ299" s="120"/>
      <c r="FA299" s="120"/>
      <c r="FB299" s="120"/>
      <c r="FC299" s="120"/>
      <c r="FD299" s="120"/>
      <c r="FE299" s="120"/>
      <c r="FF299" s="120"/>
      <c r="FG299" s="120"/>
      <c r="FH299" s="120"/>
      <c r="FI299" s="120"/>
      <c r="FJ299" s="120"/>
      <c r="FK299" s="120"/>
      <c r="FL299" s="120"/>
      <c r="FM299" s="120"/>
      <c r="FN299" s="120"/>
      <c r="FO299" s="120"/>
      <c r="FP299" s="120"/>
      <c r="FQ299" s="120"/>
      <c r="FR299" s="120"/>
      <c r="FS299" s="120"/>
      <c r="FT299" s="120"/>
      <c r="FU299" s="120"/>
      <c r="FV299" s="120"/>
      <c r="FW299" s="120"/>
      <c r="FX299" s="120"/>
      <c r="FY299" s="120"/>
      <c r="FZ299" s="120"/>
      <c r="GA299" s="120"/>
      <c r="GB299" s="120"/>
      <c r="GC299" s="120"/>
      <c r="GD299" s="120"/>
      <c r="GE299" s="120"/>
      <c r="GF299" s="120"/>
      <c r="GG299" s="120"/>
      <c r="GH299" s="120"/>
      <c r="GI299" s="120"/>
      <c r="GJ299" s="120"/>
      <c r="GK299" s="120"/>
      <c r="GL299" s="120"/>
      <c r="GM299" s="120"/>
      <c r="GN299" s="120"/>
      <c r="GO299" s="120"/>
      <c r="GP299" s="120"/>
      <c r="GQ299" s="120"/>
      <c r="GR299" s="120"/>
      <c r="GS299" s="120"/>
      <c r="GT299" s="120"/>
      <c r="GU299" s="120"/>
      <c r="GV299" s="120"/>
      <c r="GW299" s="120"/>
      <c r="GX299" s="120"/>
      <c r="GY299" s="120"/>
      <c r="GZ299" s="120"/>
      <c r="HA299" s="120"/>
      <c r="HB299" s="120"/>
      <c r="HC299" s="120"/>
      <c r="HD299" s="120"/>
      <c r="HE299" s="120"/>
      <c r="HF299" s="120"/>
      <c r="HG299" s="120"/>
      <c r="HH299" s="120"/>
      <c r="HI299" s="120"/>
      <c r="HJ299" s="120"/>
      <c r="HK299" s="120"/>
      <c r="HL299" s="120"/>
      <c r="HM299" s="120"/>
      <c r="HN299" s="120"/>
      <c r="HO299" s="120"/>
      <c r="HP299" s="120"/>
      <c r="HQ299" s="120"/>
      <c r="HR299" s="120"/>
      <c r="HS299" s="120"/>
      <c r="HT299" s="120"/>
      <c r="HU299" s="120"/>
      <c r="HV299" s="120"/>
      <c r="HW299" s="120"/>
      <c r="HX299" s="120"/>
      <c r="HY299" s="120"/>
      <c r="HZ299" s="120"/>
      <c r="IA299" s="120"/>
      <c r="IB299" s="120"/>
      <c r="IC299" s="120"/>
      <c r="ID299" s="120"/>
      <c r="IE299" s="120"/>
      <c r="IF299" s="120"/>
      <c r="IG299" s="120"/>
      <c r="IH299" s="120"/>
      <c r="II299" s="120"/>
      <c r="IJ299" s="120"/>
      <c r="IK299" s="120"/>
      <c r="IL299" s="120"/>
      <c r="IM299" s="120"/>
    </row>
    <row r="300" spans="2:247" ht="32.25" customHeight="1" x14ac:dyDescent="0.25">
      <c r="B300" s="83" t="s">
        <v>97</v>
      </c>
      <c r="C300" s="25" t="s">
        <v>52</v>
      </c>
      <c r="D300" s="28">
        <f>21/39*100</f>
        <v>53.846153846153847</v>
      </c>
      <c r="E300" s="28">
        <f>21/39*100</f>
        <v>53.846153846153847</v>
      </c>
      <c r="F300" s="75">
        <f>IF((E300/D300*100)&gt;100,"100",E300/D300*100)</f>
        <v>100</v>
      </c>
      <c r="G300" s="702"/>
      <c r="H300" s="717"/>
      <c r="I300" s="718"/>
      <c r="J300" s="718"/>
      <c r="K300" s="718"/>
      <c r="L300" s="718"/>
      <c r="M300" s="718"/>
      <c r="N300" s="718"/>
      <c r="O300" s="718"/>
      <c r="P300" s="718"/>
      <c r="Q300" s="718"/>
      <c r="R300" s="718"/>
      <c r="S300" s="718"/>
      <c r="T300" s="718"/>
      <c r="U300" s="718"/>
      <c r="V300" s="718"/>
      <c r="W300" s="718"/>
      <c r="X300" s="718"/>
      <c r="Y300" s="718"/>
      <c r="Z300" s="718"/>
      <c r="AA300" s="718"/>
      <c r="AB300" s="718"/>
      <c r="AC300" s="718"/>
      <c r="AD300" s="718"/>
      <c r="AE300" s="718"/>
      <c r="AF300" s="718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20"/>
      <c r="AV300" s="120"/>
      <c r="AW300" s="120"/>
      <c r="AX300" s="120"/>
      <c r="AY300" s="120"/>
      <c r="AZ300" s="120"/>
      <c r="BA300" s="120"/>
      <c r="BB300" s="120"/>
      <c r="BC300" s="120"/>
      <c r="BD300" s="120"/>
      <c r="BE300" s="120"/>
      <c r="BF300" s="120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20"/>
      <c r="BS300" s="120"/>
      <c r="BT300" s="120"/>
      <c r="BU300" s="120"/>
      <c r="BV300" s="120"/>
      <c r="BW300" s="120"/>
      <c r="BX300" s="120"/>
      <c r="BY300" s="120"/>
      <c r="BZ300" s="120"/>
      <c r="CA300" s="120"/>
      <c r="CB300" s="120"/>
      <c r="CC300" s="120"/>
      <c r="CD300" s="120"/>
      <c r="CE300" s="120"/>
      <c r="CF300" s="120"/>
      <c r="CG300" s="120"/>
      <c r="CH300" s="120"/>
      <c r="CI300" s="120"/>
      <c r="CJ300" s="120"/>
      <c r="CK300" s="120"/>
      <c r="CL300" s="120"/>
      <c r="CM300" s="120"/>
      <c r="CN300" s="120"/>
      <c r="CO300" s="120"/>
      <c r="CP300" s="120"/>
      <c r="CQ300" s="120"/>
      <c r="CR300" s="120"/>
      <c r="CS300" s="120"/>
      <c r="CT300" s="120"/>
      <c r="CU300" s="120"/>
      <c r="CV300" s="120"/>
      <c r="CW300" s="120"/>
      <c r="CX300" s="120"/>
      <c r="CY300" s="120"/>
      <c r="CZ300" s="120"/>
      <c r="DA300" s="120"/>
      <c r="DB300" s="120"/>
      <c r="DC300" s="120"/>
      <c r="DD300" s="120"/>
      <c r="DE300" s="120"/>
      <c r="DF300" s="120"/>
      <c r="DG300" s="120"/>
      <c r="DH300" s="120"/>
      <c r="DI300" s="120"/>
      <c r="DJ300" s="120"/>
      <c r="DK300" s="120"/>
      <c r="DL300" s="120"/>
      <c r="DM300" s="120"/>
      <c r="DN300" s="120"/>
      <c r="DO300" s="120"/>
      <c r="DP300" s="120"/>
      <c r="DQ300" s="120"/>
      <c r="DR300" s="120"/>
      <c r="DS300" s="120"/>
      <c r="DT300" s="120"/>
      <c r="DU300" s="120"/>
      <c r="DV300" s="120"/>
      <c r="DW300" s="120"/>
      <c r="DX300" s="120"/>
      <c r="DY300" s="120"/>
      <c r="DZ300" s="120"/>
      <c r="EA300" s="120"/>
      <c r="EB300" s="120"/>
      <c r="EC300" s="120"/>
      <c r="ED300" s="120"/>
      <c r="EE300" s="120"/>
      <c r="EF300" s="120"/>
      <c r="EG300" s="120"/>
      <c r="EH300" s="120"/>
      <c r="EI300" s="120"/>
      <c r="EJ300" s="120"/>
      <c r="EK300" s="120"/>
      <c r="EL300" s="120"/>
      <c r="EM300" s="120"/>
      <c r="EN300" s="120"/>
      <c r="EO300" s="120"/>
      <c r="EP300" s="120"/>
      <c r="EQ300" s="120"/>
      <c r="ER300" s="120"/>
      <c r="ES300" s="120"/>
      <c r="ET300" s="120"/>
      <c r="EU300" s="120"/>
      <c r="EV300" s="120"/>
      <c r="EW300" s="120"/>
      <c r="EX300" s="120"/>
      <c r="EY300" s="120"/>
      <c r="EZ300" s="120"/>
      <c r="FA300" s="120"/>
      <c r="FB300" s="120"/>
      <c r="FC300" s="120"/>
      <c r="FD300" s="120"/>
      <c r="FE300" s="120"/>
      <c r="FF300" s="120"/>
      <c r="FG300" s="120"/>
      <c r="FH300" s="120"/>
      <c r="FI300" s="120"/>
      <c r="FJ300" s="120"/>
      <c r="FK300" s="120"/>
      <c r="FL300" s="120"/>
      <c r="FM300" s="120"/>
      <c r="FN300" s="120"/>
      <c r="FO300" s="120"/>
      <c r="FP300" s="120"/>
      <c r="FQ300" s="120"/>
      <c r="FR300" s="120"/>
      <c r="FS300" s="120"/>
      <c r="FT300" s="120"/>
      <c r="FU300" s="120"/>
      <c r="FV300" s="120"/>
      <c r="FW300" s="120"/>
      <c r="FX300" s="120"/>
      <c r="FY300" s="120"/>
      <c r="FZ300" s="120"/>
      <c r="GA300" s="120"/>
      <c r="GB300" s="120"/>
      <c r="GC300" s="120"/>
      <c r="GD300" s="120"/>
      <c r="GE300" s="120"/>
      <c r="GF300" s="120"/>
      <c r="GG300" s="120"/>
      <c r="GH300" s="120"/>
      <c r="GI300" s="120"/>
      <c r="GJ300" s="120"/>
      <c r="GK300" s="120"/>
      <c r="GL300" s="120"/>
      <c r="GM300" s="120"/>
      <c r="GN300" s="120"/>
      <c r="GO300" s="120"/>
      <c r="GP300" s="120"/>
      <c r="GQ300" s="120"/>
      <c r="GR300" s="120"/>
      <c r="GS300" s="120"/>
      <c r="GT300" s="120"/>
      <c r="GU300" s="120"/>
      <c r="GV300" s="120"/>
      <c r="GW300" s="120"/>
      <c r="GX300" s="120"/>
      <c r="GY300" s="120"/>
      <c r="GZ300" s="120"/>
      <c r="HA300" s="120"/>
      <c r="HB300" s="120"/>
      <c r="HC300" s="120"/>
      <c r="HD300" s="120"/>
      <c r="HE300" s="120"/>
      <c r="HF300" s="120"/>
      <c r="HG300" s="120"/>
      <c r="HH300" s="120"/>
      <c r="HI300" s="120"/>
      <c r="HJ300" s="120"/>
      <c r="HK300" s="120"/>
      <c r="HL300" s="120"/>
      <c r="HM300" s="120"/>
      <c r="HN300" s="120"/>
      <c r="HO300" s="120"/>
      <c r="HP300" s="120"/>
      <c r="HQ300" s="120"/>
      <c r="HR300" s="120"/>
      <c r="HS300" s="120"/>
      <c r="HT300" s="120"/>
      <c r="HU300" s="120"/>
      <c r="HV300" s="120"/>
      <c r="HW300" s="120"/>
      <c r="HX300" s="120"/>
      <c r="HY300" s="120"/>
      <c r="HZ300" s="120"/>
      <c r="IA300" s="120"/>
      <c r="IB300" s="120"/>
      <c r="IC300" s="120"/>
      <c r="ID300" s="120"/>
      <c r="IE300" s="120"/>
      <c r="IF300" s="120"/>
      <c r="IG300" s="120"/>
      <c r="IH300" s="120"/>
      <c r="II300" s="120"/>
      <c r="IJ300" s="120"/>
      <c r="IK300" s="120"/>
      <c r="IL300" s="120"/>
      <c r="IM300" s="120"/>
    </row>
    <row r="301" spans="2:247" ht="78.75" x14ac:dyDescent="0.25">
      <c r="B301" s="83" t="s">
        <v>98</v>
      </c>
      <c r="C301" s="25" t="s">
        <v>52</v>
      </c>
      <c r="D301" s="28">
        <f>1/39*100</f>
        <v>2.5641025641025639</v>
      </c>
      <c r="E301" s="28">
        <f>1/39*100</f>
        <v>2.5641025641025639</v>
      </c>
      <c r="F301" s="75">
        <f>IF((E301/D301*100)&gt;100,"100",E301/D301*100)</f>
        <v>100</v>
      </c>
      <c r="G301" s="702"/>
      <c r="H301" s="717"/>
      <c r="I301" s="718"/>
      <c r="J301" s="718"/>
      <c r="K301" s="718"/>
      <c r="L301" s="718"/>
      <c r="M301" s="718"/>
      <c r="N301" s="718"/>
      <c r="O301" s="718"/>
      <c r="P301" s="718"/>
      <c r="Q301" s="718"/>
      <c r="R301" s="718"/>
      <c r="S301" s="718"/>
      <c r="T301" s="718"/>
      <c r="U301" s="718"/>
      <c r="V301" s="718"/>
      <c r="W301" s="718"/>
      <c r="X301" s="718"/>
      <c r="Y301" s="718"/>
      <c r="Z301" s="718"/>
      <c r="AA301" s="718"/>
      <c r="AB301" s="718"/>
      <c r="AC301" s="718"/>
      <c r="AD301" s="718"/>
      <c r="AE301" s="718"/>
      <c r="AF301" s="718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20"/>
      <c r="AV301" s="120"/>
      <c r="AW301" s="120"/>
      <c r="AX301" s="120"/>
      <c r="AY301" s="120"/>
      <c r="AZ301" s="120"/>
      <c r="BA301" s="120"/>
      <c r="BB301" s="120"/>
      <c r="BC301" s="120"/>
      <c r="BD301" s="120"/>
      <c r="BE301" s="120"/>
      <c r="BF301" s="120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20"/>
      <c r="BS301" s="120"/>
      <c r="BT301" s="120"/>
      <c r="BU301" s="120"/>
      <c r="BV301" s="120"/>
      <c r="BW301" s="120"/>
      <c r="BX301" s="120"/>
      <c r="BY301" s="120"/>
      <c r="BZ301" s="120"/>
      <c r="CA301" s="120"/>
      <c r="CB301" s="120"/>
      <c r="CC301" s="120"/>
      <c r="CD301" s="120"/>
      <c r="CE301" s="120"/>
      <c r="CF301" s="120"/>
      <c r="CG301" s="120"/>
      <c r="CH301" s="120"/>
      <c r="CI301" s="120"/>
      <c r="CJ301" s="120"/>
      <c r="CK301" s="120"/>
      <c r="CL301" s="120"/>
      <c r="CM301" s="120"/>
      <c r="CN301" s="120"/>
      <c r="CO301" s="120"/>
      <c r="CP301" s="120"/>
      <c r="CQ301" s="120"/>
      <c r="CR301" s="120"/>
      <c r="CS301" s="120"/>
      <c r="CT301" s="120"/>
      <c r="CU301" s="120"/>
      <c r="CV301" s="120"/>
      <c r="CW301" s="120"/>
      <c r="CX301" s="120"/>
      <c r="CY301" s="120"/>
      <c r="CZ301" s="120"/>
      <c r="DA301" s="120"/>
      <c r="DB301" s="120"/>
      <c r="DC301" s="120"/>
      <c r="DD301" s="120"/>
      <c r="DE301" s="120"/>
      <c r="DF301" s="120"/>
      <c r="DG301" s="120"/>
      <c r="DH301" s="120"/>
      <c r="DI301" s="120"/>
      <c r="DJ301" s="120"/>
      <c r="DK301" s="120"/>
      <c r="DL301" s="120"/>
      <c r="DM301" s="120"/>
      <c r="DN301" s="120"/>
      <c r="DO301" s="120"/>
      <c r="DP301" s="120"/>
      <c r="DQ301" s="120"/>
      <c r="DR301" s="120"/>
      <c r="DS301" s="120"/>
      <c r="DT301" s="120"/>
      <c r="DU301" s="120"/>
      <c r="DV301" s="120"/>
      <c r="DW301" s="120"/>
      <c r="DX301" s="120"/>
      <c r="DY301" s="120"/>
      <c r="DZ301" s="120"/>
      <c r="EA301" s="120"/>
      <c r="EB301" s="120"/>
      <c r="EC301" s="120"/>
      <c r="ED301" s="120"/>
      <c r="EE301" s="120"/>
      <c r="EF301" s="120"/>
      <c r="EG301" s="120"/>
      <c r="EH301" s="120"/>
      <c r="EI301" s="120"/>
      <c r="EJ301" s="120"/>
      <c r="EK301" s="120"/>
      <c r="EL301" s="120"/>
      <c r="EM301" s="120"/>
      <c r="EN301" s="120"/>
      <c r="EO301" s="120"/>
      <c r="EP301" s="120"/>
      <c r="EQ301" s="120"/>
      <c r="ER301" s="120"/>
      <c r="ES301" s="120"/>
      <c r="ET301" s="120"/>
      <c r="EU301" s="120"/>
      <c r="EV301" s="120"/>
      <c r="EW301" s="120"/>
      <c r="EX301" s="120"/>
      <c r="EY301" s="120"/>
      <c r="EZ301" s="120"/>
      <c r="FA301" s="120"/>
      <c r="FB301" s="120"/>
      <c r="FC301" s="120"/>
      <c r="FD301" s="120"/>
      <c r="FE301" s="120"/>
      <c r="FF301" s="120"/>
      <c r="FG301" s="120"/>
      <c r="FH301" s="120"/>
      <c r="FI301" s="120"/>
      <c r="FJ301" s="120"/>
      <c r="FK301" s="120"/>
      <c r="FL301" s="120"/>
      <c r="FM301" s="120"/>
      <c r="FN301" s="120"/>
      <c r="FO301" s="120"/>
      <c r="FP301" s="120"/>
      <c r="FQ301" s="120"/>
      <c r="FR301" s="120"/>
      <c r="FS301" s="120"/>
      <c r="FT301" s="120"/>
      <c r="FU301" s="120"/>
      <c r="FV301" s="120"/>
      <c r="FW301" s="120"/>
      <c r="FX301" s="120"/>
      <c r="FY301" s="120"/>
      <c r="FZ301" s="120"/>
      <c r="GA301" s="120"/>
      <c r="GB301" s="120"/>
      <c r="GC301" s="120"/>
      <c r="GD301" s="120"/>
      <c r="GE301" s="120"/>
      <c r="GF301" s="120"/>
      <c r="GG301" s="120"/>
      <c r="GH301" s="120"/>
      <c r="GI301" s="120"/>
      <c r="GJ301" s="120"/>
      <c r="GK301" s="120"/>
      <c r="GL301" s="120"/>
      <c r="GM301" s="120"/>
      <c r="GN301" s="120"/>
      <c r="GO301" s="120"/>
      <c r="GP301" s="120"/>
      <c r="GQ301" s="120"/>
      <c r="GR301" s="120"/>
      <c r="GS301" s="120"/>
      <c r="GT301" s="120"/>
      <c r="GU301" s="120"/>
      <c r="GV301" s="120"/>
      <c r="GW301" s="120"/>
      <c r="GX301" s="120"/>
      <c r="GY301" s="120"/>
      <c r="GZ301" s="120"/>
      <c r="HA301" s="120"/>
      <c r="HB301" s="120"/>
      <c r="HC301" s="120"/>
      <c r="HD301" s="120"/>
      <c r="HE301" s="120"/>
      <c r="HF301" s="120"/>
      <c r="HG301" s="120"/>
      <c r="HH301" s="120"/>
      <c r="HI301" s="120"/>
      <c r="HJ301" s="120"/>
      <c r="HK301" s="120"/>
      <c r="HL301" s="120"/>
      <c r="HM301" s="120"/>
      <c r="HN301" s="120"/>
      <c r="HO301" s="120"/>
      <c r="HP301" s="120"/>
      <c r="HQ301" s="120"/>
      <c r="HR301" s="120"/>
      <c r="HS301" s="120"/>
      <c r="HT301" s="120"/>
      <c r="HU301" s="120"/>
      <c r="HV301" s="120"/>
      <c r="HW301" s="120"/>
      <c r="HX301" s="120"/>
      <c r="HY301" s="120"/>
      <c r="HZ301" s="120"/>
      <c r="IA301" s="120"/>
      <c r="IB301" s="120"/>
      <c r="IC301" s="120"/>
      <c r="ID301" s="120"/>
      <c r="IE301" s="120"/>
      <c r="IF301" s="120"/>
      <c r="IG301" s="120"/>
      <c r="IH301" s="120"/>
      <c r="II301" s="120"/>
      <c r="IJ301" s="120"/>
      <c r="IK301" s="120"/>
      <c r="IL301" s="120"/>
      <c r="IM301" s="120"/>
    </row>
    <row r="302" spans="2:247" ht="16.5" customHeight="1" x14ac:dyDescent="0.25">
      <c r="B302" s="135" t="s">
        <v>381</v>
      </c>
      <c r="C302" s="25"/>
      <c r="D302" s="25"/>
      <c r="E302" s="133"/>
      <c r="F302" s="75"/>
      <c r="G302" s="702"/>
      <c r="H302" s="717"/>
      <c r="I302" s="718"/>
      <c r="J302" s="718"/>
      <c r="K302" s="718"/>
      <c r="L302" s="718"/>
      <c r="M302" s="718"/>
      <c r="N302" s="718"/>
      <c r="O302" s="718"/>
      <c r="P302" s="718"/>
      <c r="Q302" s="718"/>
      <c r="R302" s="718"/>
      <c r="S302" s="718"/>
      <c r="T302" s="718"/>
      <c r="U302" s="718"/>
      <c r="V302" s="718"/>
      <c r="W302" s="718"/>
      <c r="X302" s="718"/>
      <c r="Y302" s="718"/>
      <c r="Z302" s="718"/>
      <c r="AA302" s="718"/>
      <c r="AB302" s="718"/>
      <c r="AC302" s="718"/>
      <c r="AD302" s="718"/>
      <c r="AE302" s="718"/>
      <c r="AF302" s="718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20"/>
      <c r="AV302" s="120"/>
      <c r="AW302" s="120"/>
      <c r="AX302" s="120"/>
      <c r="AY302" s="120"/>
      <c r="AZ302" s="120"/>
      <c r="BA302" s="120"/>
      <c r="BB302" s="120"/>
      <c r="BC302" s="120"/>
      <c r="BD302" s="120"/>
      <c r="BE302" s="120"/>
      <c r="BF302" s="120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20"/>
      <c r="BS302" s="120"/>
      <c r="BT302" s="120"/>
      <c r="BU302" s="120"/>
      <c r="BV302" s="120"/>
      <c r="BW302" s="120"/>
      <c r="BX302" s="120"/>
      <c r="BY302" s="120"/>
      <c r="BZ302" s="120"/>
      <c r="CA302" s="120"/>
      <c r="CB302" s="120"/>
      <c r="CC302" s="120"/>
      <c r="CD302" s="120"/>
      <c r="CE302" s="120"/>
      <c r="CF302" s="120"/>
      <c r="CG302" s="120"/>
      <c r="CH302" s="120"/>
      <c r="CI302" s="120"/>
      <c r="CJ302" s="120"/>
      <c r="CK302" s="120"/>
      <c r="CL302" s="120"/>
      <c r="CM302" s="120"/>
      <c r="CN302" s="120"/>
      <c r="CO302" s="120"/>
      <c r="CP302" s="120"/>
      <c r="CQ302" s="120"/>
      <c r="CR302" s="120"/>
      <c r="CS302" s="120"/>
      <c r="CT302" s="120"/>
      <c r="CU302" s="120"/>
      <c r="CV302" s="120"/>
      <c r="CW302" s="120"/>
      <c r="CX302" s="120"/>
      <c r="CY302" s="120"/>
      <c r="CZ302" s="120"/>
      <c r="DA302" s="120"/>
      <c r="DB302" s="120"/>
      <c r="DC302" s="120"/>
      <c r="DD302" s="120"/>
      <c r="DE302" s="120"/>
      <c r="DF302" s="120"/>
      <c r="DG302" s="120"/>
      <c r="DH302" s="120"/>
      <c r="DI302" s="120"/>
      <c r="DJ302" s="120"/>
      <c r="DK302" s="120"/>
      <c r="DL302" s="120"/>
      <c r="DM302" s="120"/>
      <c r="DN302" s="120"/>
      <c r="DO302" s="120"/>
      <c r="DP302" s="120"/>
      <c r="DQ302" s="120"/>
      <c r="DR302" s="120"/>
      <c r="DS302" s="120"/>
      <c r="DT302" s="120"/>
      <c r="DU302" s="120"/>
      <c r="DV302" s="120"/>
      <c r="DW302" s="120"/>
      <c r="DX302" s="120"/>
      <c r="DY302" s="120"/>
      <c r="DZ302" s="120"/>
      <c r="EA302" s="120"/>
      <c r="EB302" s="120"/>
      <c r="EC302" s="120"/>
      <c r="ED302" s="120"/>
      <c r="EE302" s="120"/>
      <c r="EF302" s="120"/>
      <c r="EG302" s="120"/>
      <c r="EH302" s="120"/>
      <c r="EI302" s="120"/>
      <c r="EJ302" s="120"/>
      <c r="EK302" s="120"/>
      <c r="EL302" s="120"/>
      <c r="EM302" s="120"/>
      <c r="EN302" s="120"/>
      <c r="EO302" s="120"/>
      <c r="EP302" s="120"/>
      <c r="EQ302" s="120"/>
      <c r="ER302" s="120"/>
      <c r="ES302" s="120"/>
      <c r="ET302" s="120"/>
      <c r="EU302" s="120"/>
      <c r="EV302" s="120"/>
      <c r="EW302" s="120"/>
      <c r="EX302" s="120"/>
      <c r="EY302" s="120"/>
      <c r="EZ302" s="120"/>
      <c r="FA302" s="120"/>
      <c r="FB302" s="120"/>
      <c r="FC302" s="120"/>
      <c r="FD302" s="120"/>
      <c r="FE302" s="120"/>
      <c r="FF302" s="120"/>
      <c r="FG302" s="120"/>
      <c r="FH302" s="120"/>
      <c r="FI302" s="120"/>
      <c r="FJ302" s="120"/>
      <c r="FK302" s="120"/>
      <c r="FL302" s="120"/>
      <c r="FM302" s="120"/>
      <c r="FN302" s="120"/>
      <c r="FO302" s="120"/>
      <c r="FP302" s="120"/>
      <c r="FQ302" s="120"/>
      <c r="FR302" s="120"/>
      <c r="FS302" s="120"/>
      <c r="FT302" s="120"/>
      <c r="FU302" s="120"/>
      <c r="FV302" s="120"/>
      <c r="FW302" s="120"/>
      <c r="FX302" s="120"/>
      <c r="FY302" s="120"/>
      <c r="FZ302" s="120"/>
      <c r="GA302" s="120"/>
      <c r="GB302" s="120"/>
      <c r="GC302" s="120"/>
      <c r="GD302" s="120"/>
      <c r="GE302" s="120"/>
      <c r="GF302" s="120"/>
      <c r="GG302" s="120"/>
      <c r="GH302" s="120"/>
      <c r="GI302" s="120"/>
      <c r="GJ302" s="120"/>
      <c r="GK302" s="120"/>
      <c r="GL302" s="120"/>
      <c r="GM302" s="120"/>
      <c r="GN302" s="120"/>
      <c r="GO302" s="120"/>
      <c r="GP302" s="120"/>
      <c r="GQ302" s="120"/>
      <c r="GR302" s="120"/>
      <c r="GS302" s="120"/>
      <c r="GT302" s="120"/>
      <c r="GU302" s="120"/>
      <c r="GV302" s="120"/>
      <c r="GW302" s="120"/>
      <c r="GX302" s="120"/>
      <c r="GY302" s="120"/>
      <c r="GZ302" s="120"/>
      <c r="HA302" s="120"/>
      <c r="HB302" s="120"/>
      <c r="HC302" s="120"/>
      <c r="HD302" s="120"/>
      <c r="HE302" s="120"/>
      <c r="HF302" s="120"/>
      <c r="HG302" s="120"/>
      <c r="HH302" s="120"/>
      <c r="HI302" s="120"/>
      <c r="HJ302" s="120"/>
      <c r="HK302" s="120"/>
      <c r="HL302" s="120"/>
      <c r="HM302" s="120"/>
      <c r="HN302" s="120"/>
      <c r="HO302" s="120"/>
      <c r="HP302" s="120"/>
      <c r="HQ302" s="120"/>
      <c r="HR302" s="120"/>
      <c r="HS302" s="120"/>
      <c r="HT302" s="120"/>
      <c r="HU302" s="120"/>
      <c r="HV302" s="120"/>
      <c r="HW302" s="120"/>
      <c r="HX302" s="120"/>
      <c r="HY302" s="120"/>
      <c r="HZ302" s="120"/>
      <c r="IA302" s="120"/>
      <c r="IB302" s="120"/>
      <c r="IC302" s="120"/>
      <c r="ID302" s="120"/>
      <c r="IE302" s="120"/>
      <c r="IF302" s="120"/>
      <c r="IG302" s="120"/>
      <c r="IH302" s="120"/>
      <c r="II302" s="120"/>
      <c r="IJ302" s="120"/>
      <c r="IK302" s="120"/>
      <c r="IL302" s="120"/>
      <c r="IM302" s="120"/>
    </row>
    <row r="303" spans="2:247" ht="31.5" x14ac:dyDescent="0.25">
      <c r="B303" s="83" t="s">
        <v>382</v>
      </c>
      <c r="C303" s="25" t="s">
        <v>85</v>
      </c>
      <c r="D303" s="25">
        <v>0</v>
      </c>
      <c r="E303" s="133">
        <v>0</v>
      </c>
      <c r="F303" s="75"/>
      <c r="G303" s="702"/>
      <c r="H303" s="717"/>
      <c r="I303" s="718"/>
      <c r="J303" s="718"/>
      <c r="K303" s="718"/>
      <c r="L303" s="718"/>
      <c r="M303" s="718"/>
      <c r="N303" s="718"/>
      <c r="O303" s="718"/>
      <c r="P303" s="718"/>
      <c r="Q303" s="718"/>
      <c r="R303" s="718"/>
      <c r="S303" s="718"/>
      <c r="T303" s="718"/>
      <c r="U303" s="718"/>
      <c r="V303" s="718"/>
      <c r="W303" s="718"/>
      <c r="X303" s="718"/>
      <c r="Y303" s="718"/>
      <c r="Z303" s="718"/>
      <c r="AA303" s="718"/>
      <c r="AB303" s="718"/>
      <c r="AC303" s="718"/>
      <c r="AD303" s="718"/>
      <c r="AE303" s="718"/>
      <c r="AF303" s="718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20"/>
      <c r="AV303" s="120"/>
      <c r="AW303" s="120"/>
      <c r="AX303" s="120"/>
      <c r="AY303" s="120"/>
      <c r="AZ303" s="120"/>
      <c r="BA303" s="120"/>
      <c r="BB303" s="120"/>
      <c r="BC303" s="120"/>
      <c r="BD303" s="120"/>
      <c r="BE303" s="120"/>
      <c r="BF303" s="120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20"/>
      <c r="BS303" s="120"/>
      <c r="BT303" s="120"/>
      <c r="BU303" s="120"/>
      <c r="BV303" s="120"/>
      <c r="BW303" s="120"/>
      <c r="BX303" s="120"/>
      <c r="BY303" s="120"/>
      <c r="BZ303" s="120"/>
      <c r="CA303" s="120"/>
      <c r="CB303" s="120"/>
      <c r="CC303" s="120"/>
      <c r="CD303" s="120"/>
      <c r="CE303" s="120"/>
      <c r="CF303" s="120"/>
      <c r="CG303" s="120"/>
      <c r="CH303" s="120"/>
      <c r="CI303" s="120"/>
      <c r="CJ303" s="120"/>
      <c r="CK303" s="120"/>
      <c r="CL303" s="120"/>
      <c r="CM303" s="120"/>
      <c r="CN303" s="120"/>
      <c r="CO303" s="120"/>
      <c r="CP303" s="120"/>
      <c r="CQ303" s="120"/>
      <c r="CR303" s="120"/>
      <c r="CS303" s="120"/>
      <c r="CT303" s="120"/>
      <c r="CU303" s="120"/>
      <c r="CV303" s="120"/>
      <c r="CW303" s="120"/>
      <c r="CX303" s="120"/>
      <c r="CY303" s="120"/>
      <c r="CZ303" s="120"/>
      <c r="DA303" s="120"/>
      <c r="DB303" s="120"/>
      <c r="DC303" s="120"/>
      <c r="DD303" s="120"/>
      <c r="DE303" s="120"/>
      <c r="DF303" s="120"/>
      <c r="DG303" s="120"/>
      <c r="DH303" s="120"/>
      <c r="DI303" s="120"/>
      <c r="DJ303" s="120"/>
      <c r="DK303" s="120"/>
      <c r="DL303" s="120"/>
      <c r="DM303" s="120"/>
      <c r="DN303" s="120"/>
      <c r="DO303" s="120"/>
      <c r="DP303" s="120"/>
      <c r="DQ303" s="120"/>
      <c r="DR303" s="120"/>
      <c r="DS303" s="120"/>
      <c r="DT303" s="120"/>
      <c r="DU303" s="120"/>
      <c r="DV303" s="120"/>
      <c r="DW303" s="120"/>
      <c r="DX303" s="120"/>
      <c r="DY303" s="120"/>
      <c r="DZ303" s="120"/>
      <c r="EA303" s="120"/>
      <c r="EB303" s="120"/>
      <c r="EC303" s="120"/>
      <c r="ED303" s="120"/>
      <c r="EE303" s="120"/>
      <c r="EF303" s="120"/>
      <c r="EG303" s="120"/>
      <c r="EH303" s="120"/>
      <c r="EI303" s="120"/>
      <c r="EJ303" s="120"/>
      <c r="EK303" s="120"/>
      <c r="EL303" s="120"/>
      <c r="EM303" s="120"/>
      <c r="EN303" s="120"/>
      <c r="EO303" s="120"/>
      <c r="EP303" s="120"/>
      <c r="EQ303" s="120"/>
      <c r="ER303" s="120"/>
      <c r="ES303" s="120"/>
      <c r="ET303" s="120"/>
      <c r="EU303" s="120"/>
      <c r="EV303" s="120"/>
      <c r="EW303" s="120"/>
      <c r="EX303" s="120"/>
      <c r="EY303" s="120"/>
      <c r="EZ303" s="120"/>
      <c r="FA303" s="120"/>
      <c r="FB303" s="120"/>
      <c r="FC303" s="120"/>
      <c r="FD303" s="120"/>
      <c r="FE303" s="120"/>
      <c r="FF303" s="120"/>
      <c r="FG303" s="120"/>
      <c r="FH303" s="120"/>
      <c r="FI303" s="120"/>
      <c r="FJ303" s="120"/>
      <c r="FK303" s="120"/>
      <c r="FL303" s="120"/>
      <c r="FM303" s="120"/>
      <c r="FN303" s="120"/>
      <c r="FO303" s="120"/>
      <c r="FP303" s="120"/>
      <c r="FQ303" s="120"/>
      <c r="FR303" s="120"/>
      <c r="FS303" s="120"/>
      <c r="FT303" s="120"/>
      <c r="FU303" s="120"/>
      <c r="FV303" s="120"/>
      <c r="FW303" s="120"/>
      <c r="FX303" s="120"/>
      <c r="FY303" s="120"/>
      <c r="FZ303" s="120"/>
      <c r="GA303" s="120"/>
      <c r="GB303" s="120"/>
      <c r="GC303" s="120"/>
      <c r="GD303" s="120"/>
      <c r="GE303" s="120"/>
      <c r="GF303" s="120"/>
      <c r="GG303" s="120"/>
      <c r="GH303" s="120"/>
      <c r="GI303" s="120"/>
      <c r="GJ303" s="120"/>
      <c r="GK303" s="120"/>
      <c r="GL303" s="120"/>
      <c r="GM303" s="120"/>
      <c r="GN303" s="120"/>
      <c r="GO303" s="120"/>
      <c r="GP303" s="120"/>
      <c r="GQ303" s="120"/>
      <c r="GR303" s="120"/>
      <c r="GS303" s="120"/>
      <c r="GT303" s="120"/>
      <c r="GU303" s="120"/>
      <c r="GV303" s="120"/>
      <c r="GW303" s="120"/>
      <c r="GX303" s="120"/>
      <c r="GY303" s="120"/>
      <c r="GZ303" s="120"/>
      <c r="HA303" s="120"/>
      <c r="HB303" s="120"/>
      <c r="HC303" s="120"/>
      <c r="HD303" s="120"/>
      <c r="HE303" s="120"/>
      <c r="HF303" s="120"/>
      <c r="HG303" s="120"/>
      <c r="HH303" s="120"/>
      <c r="HI303" s="120"/>
      <c r="HJ303" s="120"/>
      <c r="HK303" s="120"/>
      <c r="HL303" s="120"/>
      <c r="HM303" s="120"/>
      <c r="HN303" s="120"/>
      <c r="HO303" s="120"/>
      <c r="HP303" s="120"/>
      <c r="HQ303" s="120"/>
      <c r="HR303" s="120"/>
      <c r="HS303" s="120"/>
      <c r="HT303" s="120"/>
      <c r="HU303" s="120"/>
      <c r="HV303" s="120"/>
      <c r="HW303" s="120"/>
      <c r="HX303" s="120"/>
      <c r="HY303" s="120"/>
      <c r="HZ303" s="120"/>
      <c r="IA303" s="120"/>
      <c r="IB303" s="120"/>
      <c r="IC303" s="120"/>
      <c r="ID303" s="120"/>
      <c r="IE303" s="120"/>
      <c r="IF303" s="120"/>
      <c r="IG303" s="120"/>
      <c r="IH303" s="120"/>
      <c r="II303" s="120"/>
      <c r="IJ303" s="120"/>
      <c r="IK303" s="120"/>
      <c r="IL303" s="120"/>
      <c r="IM303" s="120"/>
    </row>
    <row r="304" spans="2:247" ht="20.25" customHeight="1" x14ac:dyDescent="0.25">
      <c r="B304" s="136" t="s">
        <v>383</v>
      </c>
      <c r="C304" s="25"/>
      <c r="D304" s="25"/>
      <c r="E304" s="133"/>
      <c r="F304" s="75"/>
      <c r="G304" s="702"/>
      <c r="H304" s="717"/>
      <c r="I304" s="718"/>
      <c r="J304" s="718"/>
      <c r="K304" s="718"/>
      <c r="L304" s="718"/>
      <c r="M304" s="718"/>
      <c r="N304" s="718"/>
      <c r="O304" s="718"/>
      <c r="P304" s="718"/>
      <c r="Q304" s="718"/>
      <c r="R304" s="718"/>
      <c r="S304" s="718"/>
      <c r="T304" s="718"/>
      <c r="U304" s="718"/>
      <c r="V304" s="718"/>
      <c r="W304" s="718"/>
      <c r="X304" s="718"/>
      <c r="Y304" s="718"/>
      <c r="Z304" s="718"/>
      <c r="AA304" s="718"/>
      <c r="AB304" s="718"/>
      <c r="AC304" s="718"/>
      <c r="AD304" s="718"/>
      <c r="AE304" s="718"/>
      <c r="AF304" s="718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20"/>
      <c r="AV304" s="120"/>
      <c r="AW304" s="120"/>
      <c r="AX304" s="120"/>
      <c r="AY304" s="120"/>
      <c r="AZ304" s="120"/>
      <c r="BA304" s="120"/>
      <c r="BB304" s="120"/>
      <c r="BC304" s="120"/>
      <c r="BD304" s="120"/>
      <c r="BE304" s="120"/>
      <c r="BF304" s="120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20"/>
      <c r="BS304" s="120"/>
      <c r="BT304" s="120"/>
      <c r="BU304" s="120"/>
      <c r="BV304" s="120"/>
      <c r="BW304" s="120"/>
      <c r="BX304" s="120"/>
      <c r="BY304" s="120"/>
      <c r="BZ304" s="120"/>
      <c r="CA304" s="120"/>
      <c r="CB304" s="120"/>
      <c r="CC304" s="120"/>
      <c r="CD304" s="120"/>
      <c r="CE304" s="120"/>
      <c r="CF304" s="120"/>
      <c r="CG304" s="120"/>
      <c r="CH304" s="120"/>
      <c r="CI304" s="120"/>
      <c r="CJ304" s="120"/>
      <c r="CK304" s="120"/>
      <c r="CL304" s="120"/>
      <c r="CM304" s="120"/>
      <c r="CN304" s="120"/>
      <c r="CO304" s="120"/>
      <c r="CP304" s="120"/>
      <c r="CQ304" s="120"/>
      <c r="CR304" s="120"/>
      <c r="CS304" s="120"/>
      <c r="CT304" s="120"/>
      <c r="CU304" s="120"/>
      <c r="CV304" s="120"/>
      <c r="CW304" s="120"/>
      <c r="CX304" s="120"/>
      <c r="CY304" s="120"/>
      <c r="CZ304" s="120"/>
      <c r="DA304" s="120"/>
      <c r="DB304" s="120"/>
      <c r="DC304" s="120"/>
      <c r="DD304" s="120"/>
      <c r="DE304" s="120"/>
      <c r="DF304" s="120"/>
      <c r="DG304" s="120"/>
      <c r="DH304" s="120"/>
      <c r="DI304" s="120"/>
      <c r="DJ304" s="120"/>
      <c r="DK304" s="120"/>
      <c r="DL304" s="120"/>
      <c r="DM304" s="120"/>
      <c r="DN304" s="120"/>
      <c r="DO304" s="120"/>
      <c r="DP304" s="120"/>
      <c r="DQ304" s="120"/>
      <c r="DR304" s="120"/>
      <c r="DS304" s="120"/>
      <c r="DT304" s="120"/>
      <c r="DU304" s="120"/>
      <c r="DV304" s="120"/>
      <c r="DW304" s="120"/>
      <c r="DX304" s="120"/>
      <c r="DY304" s="120"/>
      <c r="DZ304" s="120"/>
      <c r="EA304" s="120"/>
      <c r="EB304" s="120"/>
      <c r="EC304" s="120"/>
      <c r="ED304" s="120"/>
      <c r="EE304" s="120"/>
      <c r="EF304" s="120"/>
      <c r="EG304" s="120"/>
      <c r="EH304" s="120"/>
      <c r="EI304" s="120"/>
      <c r="EJ304" s="120"/>
      <c r="EK304" s="120"/>
      <c r="EL304" s="120"/>
      <c r="EM304" s="120"/>
      <c r="EN304" s="120"/>
      <c r="EO304" s="120"/>
      <c r="EP304" s="120"/>
      <c r="EQ304" s="120"/>
      <c r="ER304" s="120"/>
      <c r="ES304" s="120"/>
      <c r="ET304" s="120"/>
      <c r="EU304" s="120"/>
      <c r="EV304" s="120"/>
      <c r="EW304" s="120"/>
      <c r="EX304" s="120"/>
      <c r="EY304" s="120"/>
      <c r="EZ304" s="120"/>
      <c r="FA304" s="120"/>
      <c r="FB304" s="120"/>
      <c r="FC304" s="120"/>
      <c r="FD304" s="120"/>
      <c r="FE304" s="120"/>
      <c r="FF304" s="120"/>
      <c r="FG304" s="120"/>
      <c r="FH304" s="120"/>
      <c r="FI304" s="120"/>
      <c r="FJ304" s="120"/>
      <c r="FK304" s="120"/>
      <c r="FL304" s="120"/>
      <c r="FM304" s="120"/>
      <c r="FN304" s="120"/>
      <c r="FO304" s="120"/>
      <c r="FP304" s="120"/>
      <c r="FQ304" s="120"/>
      <c r="FR304" s="120"/>
      <c r="FS304" s="120"/>
      <c r="FT304" s="120"/>
      <c r="FU304" s="120"/>
      <c r="FV304" s="120"/>
      <c r="FW304" s="120"/>
      <c r="FX304" s="120"/>
      <c r="FY304" s="120"/>
      <c r="FZ304" s="120"/>
      <c r="GA304" s="120"/>
      <c r="GB304" s="120"/>
      <c r="GC304" s="120"/>
      <c r="GD304" s="120"/>
      <c r="GE304" s="120"/>
      <c r="GF304" s="120"/>
      <c r="GG304" s="120"/>
      <c r="GH304" s="120"/>
      <c r="GI304" s="120"/>
      <c r="GJ304" s="120"/>
      <c r="GK304" s="120"/>
      <c r="GL304" s="120"/>
      <c r="GM304" s="120"/>
      <c r="GN304" s="120"/>
      <c r="GO304" s="120"/>
      <c r="GP304" s="120"/>
      <c r="GQ304" s="120"/>
      <c r="GR304" s="120"/>
      <c r="GS304" s="120"/>
      <c r="GT304" s="120"/>
      <c r="GU304" s="120"/>
      <c r="GV304" s="120"/>
      <c r="GW304" s="120"/>
      <c r="GX304" s="120"/>
      <c r="GY304" s="120"/>
      <c r="GZ304" s="120"/>
      <c r="HA304" s="120"/>
      <c r="HB304" s="120"/>
      <c r="HC304" s="120"/>
      <c r="HD304" s="120"/>
      <c r="HE304" s="120"/>
      <c r="HF304" s="120"/>
      <c r="HG304" s="120"/>
      <c r="HH304" s="120"/>
      <c r="HI304" s="120"/>
      <c r="HJ304" s="120"/>
      <c r="HK304" s="120"/>
      <c r="HL304" s="120"/>
      <c r="HM304" s="120"/>
      <c r="HN304" s="120"/>
      <c r="HO304" s="120"/>
      <c r="HP304" s="120"/>
      <c r="HQ304" s="120"/>
      <c r="HR304" s="120"/>
      <c r="HS304" s="120"/>
      <c r="HT304" s="120"/>
      <c r="HU304" s="120"/>
      <c r="HV304" s="120"/>
      <c r="HW304" s="120"/>
      <c r="HX304" s="120"/>
      <c r="HY304" s="120"/>
      <c r="HZ304" s="120"/>
      <c r="IA304" s="120"/>
      <c r="IB304" s="120"/>
      <c r="IC304" s="120"/>
      <c r="ID304" s="120"/>
      <c r="IE304" s="120"/>
      <c r="IF304" s="120"/>
      <c r="IG304" s="120"/>
      <c r="IH304" s="120"/>
      <c r="II304" s="120"/>
      <c r="IJ304" s="120"/>
      <c r="IK304" s="120"/>
      <c r="IL304" s="120"/>
      <c r="IM304" s="120"/>
    </row>
    <row r="305" spans="1:247" ht="28.5" customHeight="1" x14ac:dyDescent="0.25">
      <c r="B305" s="83" t="s">
        <v>384</v>
      </c>
      <c r="C305" s="25" t="s">
        <v>85</v>
      </c>
      <c r="D305" s="25">
        <v>0</v>
      </c>
      <c r="E305" s="133">
        <v>0</v>
      </c>
      <c r="F305" s="75"/>
      <c r="G305" s="702"/>
      <c r="H305" s="717"/>
      <c r="I305" s="718"/>
      <c r="J305" s="718"/>
      <c r="K305" s="718"/>
      <c r="L305" s="718"/>
      <c r="M305" s="718"/>
      <c r="N305" s="718"/>
      <c r="O305" s="718"/>
      <c r="P305" s="718"/>
      <c r="Q305" s="718"/>
      <c r="R305" s="718"/>
      <c r="S305" s="718"/>
      <c r="T305" s="718"/>
      <c r="U305" s="718"/>
      <c r="V305" s="718"/>
      <c r="W305" s="718"/>
      <c r="X305" s="718"/>
      <c r="Y305" s="718"/>
      <c r="Z305" s="718"/>
      <c r="AA305" s="718"/>
      <c r="AB305" s="718"/>
      <c r="AC305" s="718"/>
      <c r="AD305" s="718"/>
      <c r="AE305" s="718"/>
      <c r="AF305" s="718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20"/>
      <c r="AV305" s="120"/>
      <c r="AW305" s="120"/>
      <c r="AX305" s="120"/>
      <c r="AY305" s="120"/>
      <c r="AZ305" s="120"/>
      <c r="BA305" s="120"/>
      <c r="BB305" s="120"/>
      <c r="BC305" s="120"/>
      <c r="BD305" s="120"/>
      <c r="BE305" s="120"/>
      <c r="BF305" s="120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20"/>
      <c r="BS305" s="120"/>
      <c r="BT305" s="120"/>
      <c r="BU305" s="120"/>
      <c r="BV305" s="120"/>
      <c r="BW305" s="120"/>
      <c r="BX305" s="120"/>
      <c r="BY305" s="120"/>
      <c r="BZ305" s="120"/>
      <c r="CA305" s="120"/>
      <c r="CB305" s="120"/>
      <c r="CC305" s="120"/>
      <c r="CD305" s="120"/>
      <c r="CE305" s="120"/>
      <c r="CF305" s="120"/>
      <c r="CG305" s="120"/>
      <c r="CH305" s="120"/>
      <c r="CI305" s="120"/>
      <c r="CJ305" s="120"/>
      <c r="CK305" s="120"/>
      <c r="CL305" s="120"/>
      <c r="CM305" s="120"/>
      <c r="CN305" s="120"/>
      <c r="CO305" s="120"/>
      <c r="CP305" s="120"/>
      <c r="CQ305" s="120"/>
      <c r="CR305" s="120"/>
      <c r="CS305" s="120"/>
      <c r="CT305" s="120"/>
      <c r="CU305" s="120"/>
      <c r="CV305" s="120"/>
      <c r="CW305" s="120"/>
      <c r="CX305" s="120"/>
      <c r="CY305" s="120"/>
      <c r="CZ305" s="120"/>
      <c r="DA305" s="120"/>
      <c r="DB305" s="120"/>
      <c r="DC305" s="120"/>
      <c r="DD305" s="120"/>
      <c r="DE305" s="120"/>
      <c r="DF305" s="120"/>
      <c r="DG305" s="120"/>
      <c r="DH305" s="120"/>
      <c r="DI305" s="120"/>
      <c r="DJ305" s="120"/>
      <c r="DK305" s="120"/>
      <c r="DL305" s="120"/>
      <c r="DM305" s="120"/>
      <c r="DN305" s="120"/>
      <c r="DO305" s="120"/>
      <c r="DP305" s="120"/>
      <c r="DQ305" s="120"/>
      <c r="DR305" s="120"/>
      <c r="DS305" s="120"/>
      <c r="DT305" s="120"/>
      <c r="DU305" s="120"/>
      <c r="DV305" s="120"/>
      <c r="DW305" s="120"/>
      <c r="DX305" s="120"/>
      <c r="DY305" s="120"/>
      <c r="DZ305" s="120"/>
      <c r="EA305" s="120"/>
      <c r="EB305" s="120"/>
      <c r="EC305" s="120"/>
      <c r="ED305" s="120"/>
      <c r="EE305" s="120"/>
      <c r="EF305" s="120"/>
      <c r="EG305" s="120"/>
      <c r="EH305" s="120"/>
      <c r="EI305" s="120"/>
      <c r="EJ305" s="120"/>
      <c r="EK305" s="120"/>
      <c r="EL305" s="120"/>
      <c r="EM305" s="120"/>
      <c r="EN305" s="120"/>
      <c r="EO305" s="120"/>
      <c r="EP305" s="120"/>
      <c r="EQ305" s="120"/>
      <c r="ER305" s="120"/>
      <c r="ES305" s="120"/>
      <c r="ET305" s="120"/>
      <c r="EU305" s="120"/>
      <c r="EV305" s="120"/>
      <c r="EW305" s="120"/>
      <c r="EX305" s="120"/>
      <c r="EY305" s="120"/>
      <c r="EZ305" s="120"/>
      <c r="FA305" s="120"/>
      <c r="FB305" s="120"/>
      <c r="FC305" s="120"/>
      <c r="FD305" s="120"/>
      <c r="FE305" s="120"/>
      <c r="FF305" s="120"/>
      <c r="FG305" s="120"/>
      <c r="FH305" s="120"/>
      <c r="FI305" s="120"/>
      <c r="FJ305" s="120"/>
      <c r="FK305" s="120"/>
      <c r="FL305" s="120"/>
      <c r="FM305" s="120"/>
      <c r="FN305" s="120"/>
      <c r="FO305" s="120"/>
      <c r="FP305" s="120"/>
      <c r="FQ305" s="120"/>
      <c r="FR305" s="120"/>
      <c r="FS305" s="120"/>
      <c r="FT305" s="120"/>
      <c r="FU305" s="120"/>
      <c r="FV305" s="120"/>
      <c r="FW305" s="120"/>
      <c r="FX305" s="120"/>
      <c r="FY305" s="120"/>
      <c r="FZ305" s="120"/>
      <c r="GA305" s="120"/>
      <c r="GB305" s="120"/>
      <c r="GC305" s="120"/>
      <c r="GD305" s="120"/>
      <c r="GE305" s="120"/>
      <c r="GF305" s="120"/>
      <c r="GG305" s="120"/>
      <c r="GH305" s="120"/>
      <c r="GI305" s="120"/>
      <c r="GJ305" s="120"/>
      <c r="GK305" s="120"/>
      <c r="GL305" s="120"/>
      <c r="GM305" s="120"/>
      <c r="GN305" s="120"/>
      <c r="GO305" s="120"/>
      <c r="GP305" s="120"/>
      <c r="GQ305" s="120"/>
      <c r="GR305" s="120"/>
      <c r="GS305" s="120"/>
      <c r="GT305" s="120"/>
      <c r="GU305" s="120"/>
      <c r="GV305" s="120"/>
      <c r="GW305" s="120"/>
      <c r="GX305" s="120"/>
      <c r="GY305" s="120"/>
      <c r="GZ305" s="120"/>
      <c r="HA305" s="120"/>
      <c r="HB305" s="120"/>
      <c r="HC305" s="120"/>
      <c r="HD305" s="120"/>
      <c r="HE305" s="120"/>
      <c r="HF305" s="120"/>
      <c r="HG305" s="120"/>
      <c r="HH305" s="120"/>
      <c r="HI305" s="120"/>
      <c r="HJ305" s="120"/>
      <c r="HK305" s="120"/>
      <c r="HL305" s="120"/>
      <c r="HM305" s="120"/>
      <c r="HN305" s="120"/>
      <c r="HO305" s="120"/>
      <c r="HP305" s="120"/>
      <c r="HQ305" s="120"/>
      <c r="HR305" s="120"/>
      <c r="HS305" s="120"/>
      <c r="HT305" s="120"/>
      <c r="HU305" s="120"/>
      <c r="HV305" s="120"/>
      <c r="HW305" s="120"/>
      <c r="HX305" s="120"/>
      <c r="HY305" s="120"/>
      <c r="HZ305" s="120"/>
      <c r="IA305" s="120"/>
      <c r="IB305" s="120"/>
      <c r="IC305" s="120"/>
      <c r="ID305" s="120"/>
      <c r="IE305" s="120"/>
      <c r="IF305" s="120"/>
      <c r="IG305" s="120"/>
      <c r="IH305" s="120"/>
      <c r="II305" s="120"/>
      <c r="IJ305" s="120"/>
      <c r="IK305" s="120"/>
      <c r="IL305" s="120"/>
      <c r="IM305" s="120"/>
    </row>
    <row r="306" spans="1:247" s="311" customFormat="1" x14ac:dyDescent="0.25">
      <c r="A306" s="678">
        <v>18</v>
      </c>
      <c r="B306" s="820" t="s">
        <v>1392</v>
      </c>
      <c r="C306" s="820"/>
      <c r="D306" s="820"/>
      <c r="E306" s="820"/>
      <c r="F306" s="820"/>
      <c r="G306" s="691">
        <f>SUM(F309+F312+F313+F315+F316+F317+F318+F319+F320+F321+F322+F323+F324+F325+F326+F327+F328+F329+F330+F331+F333+F334+F335+F336+F338+F339+F340+F342+F343+F344+F345+F346+F348+F349+F352+F356+F359+F360+F361+F362+F363+F364+F365+F366+F367+F368+F371+F372+F373+F375+F376+F377+F378+F381+F382+F386+F387+F383+F389+F392+F393+F394)/62</f>
        <v>87.328381814708948</v>
      </c>
      <c r="H306" s="708"/>
      <c r="I306" s="678"/>
      <c r="J306" s="678"/>
      <c r="K306" s="678"/>
      <c r="L306" s="678"/>
      <c r="M306" s="678"/>
      <c r="N306" s="678"/>
      <c r="O306" s="678"/>
      <c r="P306" s="678"/>
      <c r="Q306" s="678"/>
      <c r="R306" s="678"/>
      <c r="S306" s="678"/>
      <c r="T306" s="678"/>
      <c r="U306" s="678"/>
      <c r="V306" s="678"/>
      <c r="W306" s="678"/>
      <c r="X306" s="678"/>
      <c r="Y306" s="678"/>
      <c r="Z306" s="678"/>
      <c r="AA306" s="678"/>
      <c r="AB306" s="678"/>
      <c r="AC306" s="678"/>
      <c r="AD306" s="678"/>
      <c r="AE306" s="678"/>
      <c r="AF306" s="678"/>
    </row>
    <row r="307" spans="1:247" ht="21.75" customHeight="1" x14ac:dyDescent="0.25">
      <c r="B307" s="800" t="s">
        <v>385</v>
      </c>
      <c r="C307" s="801"/>
      <c r="D307" s="801"/>
      <c r="E307" s="801"/>
      <c r="F307" s="801"/>
      <c r="G307" s="801"/>
      <c r="H307" s="802"/>
    </row>
    <row r="308" spans="1:247" ht="16.5" customHeight="1" x14ac:dyDescent="0.25">
      <c r="B308" s="825" t="s">
        <v>386</v>
      </c>
      <c r="C308" s="825"/>
      <c r="D308" s="825"/>
      <c r="E308" s="825"/>
      <c r="F308" s="825"/>
      <c r="G308" s="682"/>
      <c r="H308" s="431"/>
    </row>
    <row r="309" spans="1:247" ht="46.5" customHeight="1" x14ac:dyDescent="0.25">
      <c r="B309" s="302" t="s">
        <v>100</v>
      </c>
      <c r="C309" s="50" t="s">
        <v>101</v>
      </c>
      <c r="D309" s="303" t="s">
        <v>102</v>
      </c>
      <c r="E309" s="90">
        <v>16</v>
      </c>
      <c r="F309" s="64">
        <v>100</v>
      </c>
      <c r="G309" s="688"/>
      <c r="H309" s="80" t="s">
        <v>1205</v>
      </c>
      <c r="I309" s="718"/>
      <c r="J309" s="718"/>
      <c r="K309" s="718"/>
      <c r="L309" s="718"/>
      <c r="M309" s="718"/>
      <c r="N309" s="718"/>
      <c r="O309" s="718"/>
      <c r="P309" s="718"/>
      <c r="Q309" s="718"/>
      <c r="R309" s="718"/>
      <c r="S309" s="718"/>
      <c r="T309" s="718"/>
      <c r="U309" s="718"/>
      <c r="V309" s="718"/>
      <c r="W309" s="718"/>
      <c r="X309" s="718"/>
      <c r="Y309" s="718"/>
      <c r="Z309" s="718"/>
      <c r="AA309" s="718"/>
      <c r="AB309" s="718"/>
      <c r="AC309" s="718"/>
      <c r="AD309" s="718"/>
      <c r="AE309" s="718"/>
      <c r="AF309" s="718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20"/>
      <c r="AV309" s="120"/>
      <c r="AW309" s="120"/>
      <c r="AX309" s="120"/>
      <c r="AY309" s="120"/>
      <c r="AZ309" s="120"/>
      <c r="BA309" s="120"/>
      <c r="BB309" s="120"/>
      <c r="BC309" s="120"/>
      <c r="BD309" s="120"/>
      <c r="BE309" s="120"/>
      <c r="BF309" s="120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20"/>
      <c r="BS309" s="120"/>
      <c r="BT309" s="120"/>
      <c r="BU309" s="120"/>
      <c r="BV309" s="120"/>
      <c r="BW309" s="120"/>
      <c r="BX309" s="120"/>
      <c r="BY309" s="120"/>
      <c r="BZ309" s="120"/>
      <c r="CA309" s="120"/>
      <c r="CB309" s="120"/>
      <c r="CC309" s="120"/>
      <c r="CD309" s="120"/>
      <c r="CE309" s="120"/>
      <c r="CF309" s="120"/>
      <c r="CG309" s="120"/>
      <c r="CH309" s="120"/>
      <c r="CI309" s="120"/>
      <c r="CJ309" s="120"/>
      <c r="CK309" s="120"/>
      <c r="CL309" s="120"/>
      <c r="CM309" s="120"/>
      <c r="CN309" s="120"/>
      <c r="CO309" s="120"/>
      <c r="CP309" s="120"/>
      <c r="CQ309" s="120"/>
      <c r="CR309" s="120"/>
      <c r="CS309" s="120"/>
      <c r="CT309" s="120"/>
      <c r="CU309" s="120"/>
      <c r="CV309" s="120"/>
      <c r="CW309" s="120"/>
      <c r="CX309" s="120"/>
      <c r="CY309" s="120"/>
      <c r="CZ309" s="120"/>
      <c r="DA309" s="120"/>
      <c r="DB309" s="120"/>
      <c r="DC309" s="120"/>
      <c r="DD309" s="120"/>
      <c r="DE309" s="120"/>
      <c r="DF309" s="120"/>
      <c r="DG309" s="120"/>
      <c r="DH309" s="120"/>
      <c r="DI309" s="120"/>
      <c r="DJ309" s="120"/>
      <c r="DK309" s="120"/>
      <c r="DL309" s="120"/>
      <c r="DM309" s="120"/>
      <c r="DN309" s="120"/>
      <c r="DO309" s="120"/>
      <c r="DP309" s="120"/>
      <c r="DQ309" s="120"/>
      <c r="DR309" s="120"/>
      <c r="DS309" s="120"/>
      <c r="DT309" s="120"/>
      <c r="DU309" s="120"/>
      <c r="DV309" s="120"/>
      <c r="DW309" s="120"/>
      <c r="DX309" s="120"/>
      <c r="DY309" s="120"/>
      <c r="DZ309" s="120"/>
      <c r="EA309" s="120"/>
      <c r="EB309" s="120"/>
      <c r="EC309" s="120"/>
      <c r="ED309" s="120"/>
      <c r="EE309" s="120"/>
      <c r="EF309" s="120"/>
      <c r="EG309" s="120"/>
      <c r="EH309" s="120"/>
      <c r="EI309" s="120"/>
      <c r="EJ309" s="120"/>
      <c r="EK309" s="120"/>
      <c r="EL309" s="120"/>
      <c r="EM309" s="120"/>
      <c r="EN309" s="120"/>
      <c r="EO309" s="120"/>
      <c r="EP309" s="120"/>
      <c r="EQ309" s="120"/>
      <c r="ER309" s="120"/>
      <c r="ES309" s="120"/>
      <c r="ET309" s="120"/>
      <c r="EU309" s="120"/>
      <c r="EV309" s="120"/>
      <c r="EW309" s="120"/>
      <c r="EX309" s="120"/>
      <c r="EY309" s="120"/>
      <c r="EZ309" s="120"/>
      <c r="FA309" s="120"/>
      <c r="FB309" s="120"/>
      <c r="FC309" s="120"/>
      <c r="FD309" s="120"/>
      <c r="FE309" s="120"/>
      <c r="FF309" s="120"/>
      <c r="FG309" s="120"/>
      <c r="FH309" s="120"/>
      <c r="FI309" s="120"/>
      <c r="FJ309" s="120"/>
      <c r="FK309" s="120"/>
      <c r="FL309" s="120"/>
      <c r="FM309" s="120"/>
      <c r="FN309" s="120"/>
      <c r="FO309" s="120"/>
      <c r="FP309" s="120"/>
      <c r="FQ309" s="120"/>
      <c r="FR309" s="120"/>
      <c r="FS309" s="120"/>
      <c r="FT309" s="120"/>
      <c r="FU309" s="120"/>
      <c r="FV309" s="120"/>
      <c r="FW309" s="120"/>
      <c r="FX309" s="120"/>
      <c r="FY309" s="120"/>
      <c r="FZ309" s="120"/>
      <c r="GA309" s="120"/>
      <c r="GB309" s="120"/>
      <c r="GC309" s="120"/>
      <c r="GD309" s="120"/>
      <c r="GE309" s="120"/>
      <c r="GF309" s="120"/>
      <c r="GG309" s="120"/>
      <c r="GH309" s="120"/>
      <c r="GI309" s="120"/>
      <c r="GJ309" s="120"/>
      <c r="GK309" s="120"/>
      <c r="GL309" s="120"/>
      <c r="GM309" s="120"/>
      <c r="GN309" s="120"/>
      <c r="GO309" s="120"/>
      <c r="GP309" s="120"/>
      <c r="GQ309" s="120"/>
      <c r="GR309" s="120"/>
      <c r="GS309" s="120"/>
      <c r="GT309" s="120"/>
      <c r="GU309" s="120"/>
      <c r="GV309" s="120"/>
      <c r="GW309" s="120"/>
      <c r="GX309" s="120"/>
      <c r="GY309" s="120"/>
      <c r="GZ309" s="120"/>
      <c r="HA309" s="120"/>
      <c r="HB309" s="120"/>
      <c r="HC309" s="120"/>
      <c r="HD309" s="120"/>
      <c r="HE309" s="120"/>
      <c r="HF309" s="120"/>
      <c r="HG309" s="120"/>
      <c r="HH309" s="120"/>
      <c r="HI309" s="120"/>
      <c r="HJ309" s="120"/>
      <c r="HK309" s="120"/>
      <c r="HL309" s="120"/>
      <c r="HM309" s="120"/>
      <c r="HN309" s="120"/>
      <c r="HO309" s="120"/>
      <c r="HP309" s="120"/>
      <c r="HQ309" s="120"/>
      <c r="HR309" s="120"/>
      <c r="HS309" s="120"/>
      <c r="HT309" s="120"/>
      <c r="HU309" s="120"/>
      <c r="HV309" s="120"/>
      <c r="HW309" s="120"/>
      <c r="HX309" s="120"/>
      <c r="HY309" s="120"/>
      <c r="HZ309" s="120"/>
      <c r="IA309" s="120"/>
      <c r="IB309" s="120"/>
      <c r="IC309" s="120"/>
      <c r="ID309" s="120"/>
      <c r="IE309" s="120"/>
      <c r="IF309" s="120"/>
      <c r="IG309" s="120"/>
      <c r="IH309" s="120"/>
      <c r="II309" s="120"/>
      <c r="IJ309" s="120"/>
      <c r="IK309" s="120"/>
      <c r="IL309" s="120"/>
      <c r="IM309" s="120"/>
    </row>
    <row r="310" spans="1:247" x14ac:dyDescent="0.25">
      <c r="B310" s="826" t="s">
        <v>387</v>
      </c>
      <c r="C310" s="826"/>
      <c r="D310" s="826"/>
      <c r="E310" s="826"/>
      <c r="F310" s="826"/>
      <c r="G310" s="688"/>
      <c r="H310" s="431"/>
      <c r="I310" s="718"/>
      <c r="J310" s="718"/>
      <c r="K310" s="718"/>
      <c r="L310" s="718"/>
      <c r="M310" s="718"/>
      <c r="N310" s="718"/>
      <c r="O310" s="718"/>
      <c r="P310" s="718"/>
      <c r="Q310" s="718"/>
      <c r="R310" s="718"/>
      <c r="S310" s="718"/>
      <c r="T310" s="718"/>
      <c r="U310" s="718"/>
      <c r="V310" s="718"/>
      <c r="W310" s="718"/>
      <c r="X310" s="718"/>
      <c r="Y310" s="718"/>
      <c r="Z310" s="718"/>
      <c r="AA310" s="718"/>
      <c r="AB310" s="718"/>
      <c r="AC310" s="718"/>
      <c r="AD310" s="718"/>
      <c r="AE310" s="718"/>
      <c r="AF310" s="718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20"/>
      <c r="AV310" s="120"/>
      <c r="AW310" s="120"/>
      <c r="AX310" s="120"/>
      <c r="AY310" s="120"/>
      <c r="AZ310" s="120"/>
      <c r="BA310" s="120"/>
      <c r="BB310" s="120"/>
      <c r="BC310" s="120"/>
      <c r="BD310" s="120"/>
      <c r="BE310" s="120"/>
      <c r="BF310" s="120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20"/>
      <c r="BS310" s="120"/>
      <c r="BT310" s="120"/>
      <c r="BU310" s="120"/>
      <c r="BV310" s="120"/>
      <c r="BW310" s="120"/>
      <c r="BX310" s="120"/>
      <c r="BY310" s="120"/>
      <c r="BZ310" s="120"/>
      <c r="CA310" s="120"/>
      <c r="CB310" s="120"/>
      <c r="CC310" s="120"/>
      <c r="CD310" s="120"/>
      <c r="CE310" s="120"/>
      <c r="CF310" s="120"/>
      <c r="CG310" s="120"/>
      <c r="CH310" s="120"/>
      <c r="CI310" s="120"/>
      <c r="CJ310" s="120"/>
      <c r="CK310" s="120"/>
      <c r="CL310" s="120"/>
      <c r="CM310" s="120"/>
      <c r="CN310" s="120"/>
      <c r="CO310" s="120"/>
      <c r="CP310" s="120"/>
      <c r="CQ310" s="120"/>
      <c r="CR310" s="120"/>
      <c r="CS310" s="120"/>
      <c r="CT310" s="120"/>
      <c r="CU310" s="120"/>
      <c r="CV310" s="120"/>
      <c r="CW310" s="120"/>
      <c r="CX310" s="120"/>
      <c r="CY310" s="120"/>
      <c r="CZ310" s="120"/>
      <c r="DA310" s="120"/>
      <c r="DB310" s="120"/>
      <c r="DC310" s="120"/>
      <c r="DD310" s="120"/>
      <c r="DE310" s="120"/>
      <c r="DF310" s="120"/>
      <c r="DG310" s="120"/>
      <c r="DH310" s="120"/>
      <c r="DI310" s="120"/>
      <c r="DJ310" s="120"/>
      <c r="DK310" s="120"/>
      <c r="DL310" s="120"/>
      <c r="DM310" s="120"/>
      <c r="DN310" s="120"/>
      <c r="DO310" s="120"/>
      <c r="DP310" s="120"/>
      <c r="DQ310" s="120"/>
      <c r="DR310" s="120"/>
      <c r="DS310" s="120"/>
      <c r="DT310" s="120"/>
      <c r="DU310" s="120"/>
      <c r="DV310" s="120"/>
      <c r="DW310" s="120"/>
      <c r="DX310" s="120"/>
      <c r="DY310" s="120"/>
      <c r="DZ310" s="120"/>
      <c r="EA310" s="120"/>
      <c r="EB310" s="120"/>
      <c r="EC310" s="120"/>
      <c r="ED310" s="120"/>
      <c r="EE310" s="120"/>
      <c r="EF310" s="120"/>
      <c r="EG310" s="120"/>
      <c r="EH310" s="120"/>
      <c r="EI310" s="120"/>
      <c r="EJ310" s="120"/>
      <c r="EK310" s="120"/>
      <c r="EL310" s="120"/>
      <c r="EM310" s="120"/>
      <c r="EN310" s="120"/>
      <c r="EO310" s="120"/>
      <c r="EP310" s="120"/>
      <c r="EQ310" s="120"/>
      <c r="ER310" s="120"/>
      <c r="ES310" s="120"/>
      <c r="ET310" s="120"/>
      <c r="EU310" s="120"/>
      <c r="EV310" s="120"/>
      <c r="EW310" s="120"/>
      <c r="EX310" s="120"/>
      <c r="EY310" s="120"/>
      <c r="EZ310" s="120"/>
      <c r="FA310" s="120"/>
      <c r="FB310" s="120"/>
      <c r="FC310" s="120"/>
      <c r="FD310" s="120"/>
      <c r="FE310" s="120"/>
      <c r="FF310" s="120"/>
      <c r="FG310" s="120"/>
      <c r="FH310" s="120"/>
      <c r="FI310" s="120"/>
      <c r="FJ310" s="120"/>
      <c r="FK310" s="120"/>
      <c r="FL310" s="120"/>
      <c r="FM310" s="120"/>
      <c r="FN310" s="120"/>
      <c r="FO310" s="120"/>
      <c r="FP310" s="120"/>
      <c r="FQ310" s="120"/>
      <c r="FR310" s="120"/>
      <c r="FS310" s="120"/>
      <c r="FT310" s="120"/>
      <c r="FU310" s="120"/>
      <c r="FV310" s="120"/>
      <c r="FW310" s="120"/>
      <c r="FX310" s="120"/>
      <c r="FY310" s="120"/>
      <c r="FZ310" s="120"/>
      <c r="GA310" s="120"/>
      <c r="GB310" s="120"/>
      <c r="GC310" s="120"/>
      <c r="GD310" s="120"/>
      <c r="GE310" s="120"/>
      <c r="GF310" s="120"/>
      <c r="GG310" s="120"/>
      <c r="GH310" s="120"/>
      <c r="GI310" s="120"/>
      <c r="GJ310" s="120"/>
      <c r="GK310" s="120"/>
      <c r="GL310" s="120"/>
      <c r="GM310" s="120"/>
      <c r="GN310" s="120"/>
      <c r="GO310" s="120"/>
      <c r="GP310" s="120"/>
      <c r="GQ310" s="120"/>
      <c r="GR310" s="120"/>
      <c r="GS310" s="120"/>
      <c r="GT310" s="120"/>
      <c r="GU310" s="120"/>
      <c r="GV310" s="120"/>
      <c r="GW310" s="120"/>
      <c r="GX310" s="120"/>
      <c r="GY310" s="120"/>
      <c r="GZ310" s="120"/>
      <c r="HA310" s="120"/>
      <c r="HB310" s="120"/>
      <c r="HC310" s="120"/>
      <c r="HD310" s="120"/>
      <c r="HE310" s="120"/>
      <c r="HF310" s="120"/>
      <c r="HG310" s="120"/>
      <c r="HH310" s="120"/>
      <c r="HI310" s="120"/>
      <c r="HJ310" s="120"/>
      <c r="HK310" s="120"/>
      <c r="HL310" s="120"/>
      <c r="HM310" s="120"/>
      <c r="HN310" s="120"/>
      <c r="HO310" s="120"/>
      <c r="HP310" s="120"/>
      <c r="HQ310" s="120"/>
      <c r="HR310" s="120"/>
      <c r="HS310" s="120"/>
      <c r="HT310" s="120"/>
      <c r="HU310" s="120"/>
      <c r="HV310" s="120"/>
      <c r="HW310" s="120"/>
      <c r="HX310" s="120"/>
      <c r="HY310" s="120"/>
      <c r="HZ310" s="120"/>
      <c r="IA310" s="120"/>
      <c r="IB310" s="120"/>
      <c r="IC310" s="120"/>
      <c r="ID310" s="120"/>
      <c r="IE310" s="120"/>
      <c r="IF310" s="120"/>
      <c r="IG310" s="120"/>
      <c r="IH310" s="120"/>
      <c r="II310" s="120"/>
      <c r="IJ310" s="120"/>
      <c r="IK310" s="120"/>
      <c r="IL310" s="120"/>
      <c r="IM310" s="120"/>
    </row>
    <row r="311" spans="1:247" ht="30" customHeight="1" x14ac:dyDescent="0.25">
      <c r="B311" s="823" t="s">
        <v>388</v>
      </c>
      <c r="C311" s="823"/>
      <c r="D311" s="823"/>
      <c r="E311" s="823"/>
      <c r="F311" s="823"/>
      <c r="G311" s="688"/>
      <c r="H311" s="431"/>
      <c r="I311" s="718"/>
      <c r="J311" s="718"/>
      <c r="K311" s="718"/>
      <c r="L311" s="718"/>
      <c r="M311" s="718"/>
      <c r="N311" s="718"/>
      <c r="O311" s="718"/>
      <c r="P311" s="718"/>
      <c r="Q311" s="718"/>
      <c r="R311" s="718"/>
      <c r="S311" s="718"/>
      <c r="T311" s="718"/>
      <c r="U311" s="718"/>
      <c r="V311" s="718"/>
      <c r="W311" s="718"/>
      <c r="X311" s="718"/>
      <c r="Y311" s="718"/>
      <c r="Z311" s="718"/>
      <c r="AA311" s="718"/>
      <c r="AB311" s="718"/>
      <c r="AC311" s="718"/>
      <c r="AD311" s="718"/>
      <c r="AE311" s="718"/>
      <c r="AF311" s="718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20"/>
      <c r="AV311" s="120"/>
      <c r="AW311" s="120"/>
      <c r="AX311" s="120"/>
      <c r="AY311" s="120"/>
      <c r="AZ311" s="120"/>
      <c r="BA311" s="120"/>
      <c r="BB311" s="120"/>
      <c r="BC311" s="120"/>
      <c r="BD311" s="120"/>
      <c r="BE311" s="120"/>
      <c r="BF311" s="120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20"/>
      <c r="BS311" s="120"/>
      <c r="BT311" s="120"/>
      <c r="BU311" s="120"/>
      <c r="BV311" s="120"/>
      <c r="BW311" s="120"/>
      <c r="BX311" s="120"/>
      <c r="BY311" s="120"/>
      <c r="BZ311" s="120"/>
      <c r="CA311" s="120"/>
      <c r="CB311" s="120"/>
      <c r="CC311" s="120"/>
      <c r="CD311" s="120"/>
      <c r="CE311" s="120"/>
      <c r="CF311" s="120"/>
      <c r="CG311" s="120"/>
      <c r="CH311" s="120"/>
      <c r="CI311" s="120"/>
      <c r="CJ311" s="120"/>
      <c r="CK311" s="120"/>
      <c r="CL311" s="120"/>
      <c r="CM311" s="120"/>
      <c r="CN311" s="120"/>
      <c r="CO311" s="120"/>
      <c r="CP311" s="120"/>
      <c r="CQ311" s="120"/>
      <c r="CR311" s="120"/>
      <c r="CS311" s="120"/>
      <c r="CT311" s="120"/>
      <c r="CU311" s="120"/>
      <c r="CV311" s="120"/>
      <c r="CW311" s="120"/>
      <c r="CX311" s="120"/>
      <c r="CY311" s="120"/>
      <c r="CZ311" s="120"/>
      <c r="DA311" s="120"/>
      <c r="DB311" s="120"/>
      <c r="DC311" s="120"/>
      <c r="DD311" s="120"/>
      <c r="DE311" s="120"/>
      <c r="DF311" s="120"/>
      <c r="DG311" s="120"/>
      <c r="DH311" s="120"/>
      <c r="DI311" s="120"/>
      <c r="DJ311" s="120"/>
      <c r="DK311" s="120"/>
      <c r="DL311" s="120"/>
      <c r="DM311" s="120"/>
      <c r="DN311" s="120"/>
      <c r="DO311" s="120"/>
      <c r="DP311" s="120"/>
      <c r="DQ311" s="120"/>
      <c r="DR311" s="120"/>
      <c r="DS311" s="120"/>
      <c r="DT311" s="120"/>
      <c r="DU311" s="120"/>
      <c r="DV311" s="120"/>
      <c r="DW311" s="120"/>
      <c r="DX311" s="120"/>
      <c r="DY311" s="120"/>
      <c r="DZ311" s="120"/>
      <c r="EA311" s="120"/>
      <c r="EB311" s="120"/>
      <c r="EC311" s="120"/>
      <c r="ED311" s="120"/>
      <c r="EE311" s="120"/>
      <c r="EF311" s="120"/>
      <c r="EG311" s="120"/>
      <c r="EH311" s="120"/>
      <c r="EI311" s="120"/>
      <c r="EJ311" s="120"/>
      <c r="EK311" s="120"/>
      <c r="EL311" s="120"/>
      <c r="EM311" s="120"/>
      <c r="EN311" s="120"/>
      <c r="EO311" s="120"/>
      <c r="EP311" s="120"/>
      <c r="EQ311" s="120"/>
      <c r="ER311" s="120"/>
      <c r="ES311" s="120"/>
      <c r="ET311" s="120"/>
      <c r="EU311" s="120"/>
      <c r="EV311" s="120"/>
      <c r="EW311" s="120"/>
      <c r="EX311" s="120"/>
      <c r="EY311" s="120"/>
      <c r="EZ311" s="120"/>
      <c r="FA311" s="120"/>
      <c r="FB311" s="120"/>
      <c r="FC311" s="120"/>
      <c r="FD311" s="120"/>
      <c r="FE311" s="120"/>
      <c r="FF311" s="120"/>
      <c r="FG311" s="120"/>
      <c r="FH311" s="120"/>
      <c r="FI311" s="120"/>
      <c r="FJ311" s="120"/>
      <c r="FK311" s="120"/>
      <c r="FL311" s="120"/>
      <c r="FM311" s="120"/>
      <c r="FN311" s="120"/>
      <c r="FO311" s="120"/>
      <c r="FP311" s="120"/>
      <c r="FQ311" s="120"/>
      <c r="FR311" s="120"/>
      <c r="FS311" s="120"/>
      <c r="FT311" s="120"/>
      <c r="FU311" s="120"/>
      <c r="FV311" s="120"/>
      <c r="FW311" s="120"/>
      <c r="FX311" s="120"/>
      <c r="FY311" s="120"/>
      <c r="FZ311" s="120"/>
      <c r="GA311" s="120"/>
      <c r="GB311" s="120"/>
      <c r="GC311" s="120"/>
      <c r="GD311" s="120"/>
      <c r="GE311" s="120"/>
      <c r="GF311" s="120"/>
      <c r="GG311" s="120"/>
      <c r="GH311" s="120"/>
      <c r="GI311" s="120"/>
      <c r="GJ311" s="120"/>
      <c r="GK311" s="120"/>
      <c r="GL311" s="120"/>
      <c r="GM311" s="120"/>
      <c r="GN311" s="120"/>
      <c r="GO311" s="120"/>
      <c r="GP311" s="120"/>
      <c r="GQ311" s="120"/>
      <c r="GR311" s="120"/>
      <c r="GS311" s="120"/>
      <c r="GT311" s="120"/>
      <c r="GU311" s="120"/>
      <c r="GV311" s="120"/>
      <c r="GW311" s="120"/>
      <c r="GX311" s="120"/>
      <c r="GY311" s="120"/>
      <c r="GZ311" s="120"/>
      <c r="HA311" s="120"/>
      <c r="HB311" s="120"/>
      <c r="HC311" s="120"/>
      <c r="HD311" s="120"/>
      <c r="HE311" s="120"/>
      <c r="HF311" s="120"/>
      <c r="HG311" s="120"/>
      <c r="HH311" s="120"/>
      <c r="HI311" s="120"/>
      <c r="HJ311" s="120"/>
      <c r="HK311" s="120"/>
      <c r="HL311" s="120"/>
      <c r="HM311" s="120"/>
      <c r="HN311" s="120"/>
      <c r="HO311" s="120"/>
      <c r="HP311" s="120"/>
      <c r="HQ311" s="120"/>
      <c r="HR311" s="120"/>
      <c r="HS311" s="120"/>
      <c r="HT311" s="120"/>
      <c r="HU311" s="120"/>
      <c r="HV311" s="120"/>
      <c r="HW311" s="120"/>
      <c r="HX311" s="120"/>
      <c r="HY311" s="120"/>
      <c r="HZ311" s="120"/>
      <c r="IA311" s="120"/>
      <c r="IB311" s="120"/>
      <c r="IC311" s="120"/>
      <c r="ID311" s="120"/>
      <c r="IE311" s="120"/>
      <c r="IF311" s="120"/>
      <c r="IG311" s="120"/>
      <c r="IH311" s="120"/>
      <c r="II311" s="120"/>
      <c r="IJ311" s="120"/>
      <c r="IK311" s="120"/>
      <c r="IL311" s="120"/>
      <c r="IM311" s="120"/>
    </row>
    <row r="312" spans="1:247" ht="101.25" customHeight="1" x14ac:dyDescent="0.25">
      <c r="B312" s="56" t="s">
        <v>103</v>
      </c>
      <c r="C312" s="50" t="s">
        <v>52</v>
      </c>
      <c r="D312" s="90">
        <v>62</v>
      </c>
      <c r="E312" s="304">
        <v>65.099999999999994</v>
      </c>
      <c r="F312" s="64" t="str">
        <f>IF((E312/D312*100)&gt;100,"100",E312/D312*100)</f>
        <v>100</v>
      </c>
      <c r="G312" s="688"/>
      <c r="H312" s="80" t="s">
        <v>1206</v>
      </c>
      <c r="I312" s="718"/>
      <c r="J312" s="718"/>
      <c r="K312" s="718"/>
      <c r="L312" s="718"/>
      <c r="M312" s="718"/>
      <c r="N312" s="718"/>
      <c r="O312" s="718"/>
      <c r="P312" s="718"/>
      <c r="Q312" s="718"/>
      <c r="R312" s="718"/>
      <c r="S312" s="718"/>
      <c r="T312" s="718"/>
      <c r="U312" s="718"/>
      <c r="V312" s="718"/>
      <c r="W312" s="718"/>
      <c r="X312" s="718"/>
      <c r="Y312" s="718"/>
      <c r="Z312" s="718"/>
      <c r="AA312" s="718"/>
      <c r="AB312" s="718"/>
      <c r="AC312" s="718"/>
      <c r="AD312" s="718"/>
      <c r="AE312" s="718"/>
      <c r="AF312" s="718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20"/>
      <c r="AV312" s="120"/>
      <c r="AW312" s="120"/>
      <c r="AX312" s="120"/>
      <c r="AY312" s="120"/>
      <c r="AZ312" s="120"/>
      <c r="BA312" s="120"/>
      <c r="BB312" s="120"/>
      <c r="BC312" s="120"/>
      <c r="BD312" s="120"/>
      <c r="BE312" s="120"/>
      <c r="BF312" s="120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20"/>
      <c r="BS312" s="120"/>
      <c r="BT312" s="120"/>
      <c r="BU312" s="120"/>
      <c r="BV312" s="120"/>
      <c r="BW312" s="120"/>
      <c r="BX312" s="120"/>
      <c r="BY312" s="120"/>
      <c r="BZ312" s="120"/>
      <c r="CA312" s="120"/>
      <c r="CB312" s="120"/>
      <c r="CC312" s="120"/>
      <c r="CD312" s="120"/>
      <c r="CE312" s="120"/>
      <c r="CF312" s="120"/>
      <c r="CG312" s="120"/>
      <c r="CH312" s="120"/>
      <c r="CI312" s="120"/>
      <c r="CJ312" s="120"/>
      <c r="CK312" s="120"/>
      <c r="CL312" s="120"/>
      <c r="CM312" s="120"/>
      <c r="CN312" s="120"/>
      <c r="CO312" s="120"/>
      <c r="CP312" s="120"/>
      <c r="CQ312" s="120"/>
      <c r="CR312" s="120"/>
      <c r="CS312" s="120"/>
      <c r="CT312" s="120"/>
      <c r="CU312" s="120"/>
      <c r="CV312" s="120"/>
      <c r="CW312" s="120"/>
      <c r="CX312" s="120"/>
      <c r="CY312" s="120"/>
      <c r="CZ312" s="120"/>
      <c r="DA312" s="120"/>
      <c r="DB312" s="120"/>
      <c r="DC312" s="120"/>
      <c r="DD312" s="120"/>
      <c r="DE312" s="120"/>
      <c r="DF312" s="120"/>
      <c r="DG312" s="120"/>
      <c r="DH312" s="120"/>
      <c r="DI312" s="120"/>
      <c r="DJ312" s="120"/>
      <c r="DK312" s="120"/>
      <c r="DL312" s="120"/>
      <c r="DM312" s="120"/>
      <c r="DN312" s="120"/>
      <c r="DO312" s="120"/>
      <c r="DP312" s="120"/>
      <c r="DQ312" s="120"/>
      <c r="DR312" s="120"/>
      <c r="DS312" s="120"/>
      <c r="DT312" s="120"/>
      <c r="DU312" s="120"/>
      <c r="DV312" s="120"/>
      <c r="DW312" s="120"/>
      <c r="DX312" s="120"/>
      <c r="DY312" s="120"/>
      <c r="DZ312" s="120"/>
      <c r="EA312" s="120"/>
      <c r="EB312" s="120"/>
      <c r="EC312" s="120"/>
      <c r="ED312" s="120"/>
      <c r="EE312" s="120"/>
      <c r="EF312" s="120"/>
      <c r="EG312" s="120"/>
      <c r="EH312" s="120"/>
      <c r="EI312" s="120"/>
      <c r="EJ312" s="120"/>
      <c r="EK312" s="120"/>
      <c r="EL312" s="120"/>
      <c r="EM312" s="120"/>
      <c r="EN312" s="120"/>
      <c r="EO312" s="120"/>
      <c r="EP312" s="120"/>
      <c r="EQ312" s="120"/>
      <c r="ER312" s="120"/>
      <c r="ES312" s="120"/>
      <c r="ET312" s="120"/>
      <c r="EU312" s="120"/>
      <c r="EV312" s="120"/>
      <c r="EW312" s="120"/>
      <c r="EX312" s="120"/>
      <c r="EY312" s="120"/>
      <c r="EZ312" s="120"/>
      <c r="FA312" s="120"/>
      <c r="FB312" s="120"/>
      <c r="FC312" s="120"/>
      <c r="FD312" s="120"/>
      <c r="FE312" s="120"/>
      <c r="FF312" s="120"/>
      <c r="FG312" s="120"/>
      <c r="FH312" s="120"/>
      <c r="FI312" s="120"/>
      <c r="FJ312" s="120"/>
      <c r="FK312" s="120"/>
      <c r="FL312" s="120"/>
      <c r="FM312" s="120"/>
      <c r="FN312" s="120"/>
      <c r="FO312" s="120"/>
      <c r="FP312" s="120"/>
      <c r="FQ312" s="120"/>
      <c r="FR312" s="120"/>
      <c r="FS312" s="120"/>
      <c r="FT312" s="120"/>
      <c r="FU312" s="120"/>
      <c r="FV312" s="120"/>
      <c r="FW312" s="120"/>
      <c r="FX312" s="120"/>
      <c r="FY312" s="120"/>
      <c r="FZ312" s="120"/>
      <c r="GA312" s="120"/>
      <c r="GB312" s="120"/>
      <c r="GC312" s="120"/>
      <c r="GD312" s="120"/>
      <c r="GE312" s="120"/>
      <c r="GF312" s="120"/>
      <c r="GG312" s="120"/>
      <c r="GH312" s="120"/>
      <c r="GI312" s="120"/>
      <c r="GJ312" s="120"/>
      <c r="GK312" s="120"/>
      <c r="GL312" s="120"/>
      <c r="GM312" s="120"/>
      <c r="GN312" s="120"/>
      <c r="GO312" s="120"/>
      <c r="GP312" s="120"/>
      <c r="GQ312" s="120"/>
      <c r="GR312" s="120"/>
      <c r="GS312" s="120"/>
      <c r="GT312" s="120"/>
      <c r="GU312" s="120"/>
      <c r="GV312" s="120"/>
      <c r="GW312" s="120"/>
      <c r="GX312" s="120"/>
      <c r="GY312" s="120"/>
      <c r="GZ312" s="120"/>
      <c r="HA312" s="120"/>
      <c r="HB312" s="120"/>
      <c r="HC312" s="120"/>
      <c r="HD312" s="120"/>
      <c r="HE312" s="120"/>
      <c r="HF312" s="120"/>
      <c r="HG312" s="120"/>
      <c r="HH312" s="120"/>
      <c r="HI312" s="120"/>
      <c r="HJ312" s="120"/>
      <c r="HK312" s="120"/>
      <c r="HL312" s="120"/>
      <c r="HM312" s="120"/>
      <c r="HN312" s="120"/>
      <c r="HO312" s="120"/>
      <c r="HP312" s="120"/>
      <c r="HQ312" s="120"/>
      <c r="HR312" s="120"/>
      <c r="HS312" s="120"/>
      <c r="HT312" s="120"/>
      <c r="HU312" s="120"/>
      <c r="HV312" s="120"/>
      <c r="HW312" s="120"/>
      <c r="HX312" s="120"/>
      <c r="HY312" s="120"/>
      <c r="HZ312" s="120"/>
      <c r="IA312" s="120"/>
      <c r="IB312" s="120"/>
      <c r="IC312" s="120"/>
      <c r="ID312" s="120"/>
      <c r="IE312" s="120"/>
      <c r="IF312" s="120"/>
      <c r="IG312" s="120"/>
      <c r="IH312" s="120"/>
      <c r="II312" s="120"/>
      <c r="IJ312" s="120"/>
      <c r="IK312" s="120"/>
      <c r="IL312" s="120"/>
      <c r="IM312" s="120"/>
    </row>
    <row r="313" spans="1:247" ht="99.75" customHeight="1" x14ac:dyDescent="0.25">
      <c r="B313" s="302" t="s">
        <v>104</v>
      </c>
      <c r="C313" s="50" t="s">
        <v>52</v>
      </c>
      <c r="D313" s="90">
        <v>38</v>
      </c>
      <c r="E313" s="304">
        <v>34.9</v>
      </c>
      <c r="F313" s="64">
        <f>IF((E313/D313*100)&gt;100,"100",E313/D313*100)</f>
        <v>91.84210526315789</v>
      </c>
      <c r="G313" s="688"/>
      <c r="H313" s="431" t="s">
        <v>1207</v>
      </c>
      <c r="I313" s="718"/>
      <c r="J313" s="718"/>
      <c r="K313" s="718"/>
      <c r="L313" s="718"/>
      <c r="M313" s="718"/>
      <c r="N313" s="718"/>
      <c r="O313" s="718"/>
      <c r="P313" s="718"/>
      <c r="Q313" s="718"/>
      <c r="R313" s="718"/>
      <c r="S313" s="718"/>
      <c r="T313" s="718"/>
      <c r="U313" s="718"/>
      <c r="V313" s="718"/>
      <c r="W313" s="718"/>
      <c r="X313" s="718"/>
      <c r="Y313" s="718"/>
      <c r="Z313" s="718"/>
      <c r="AA313" s="718"/>
      <c r="AB313" s="718"/>
      <c r="AC313" s="718"/>
      <c r="AD313" s="718"/>
      <c r="AE313" s="718"/>
      <c r="AF313" s="718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20"/>
      <c r="AV313" s="120"/>
      <c r="AW313" s="120"/>
      <c r="AX313" s="120"/>
      <c r="AY313" s="120"/>
      <c r="AZ313" s="120"/>
      <c r="BA313" s="120"/>
      <c r="BB313" s="120"/>
      <c r="BC313" s="120"/>
      <c r="BD313" s="120"/>
      <c r="BE313" s="120"/>
      <c r="BF313" s="120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20"/>
      <c r="BS313" s="120"/>
      <c r="BT313" s="120"/>
      <c r="BU313" s="120"/>
      <c r="BV313" s="120"/>
      <c r="BW313" s="120"/>
      <c r="BX313" s="120"/>
      <c r="BY313" s="120"/>
      <c r="BZ313" s="120"/>
      <c r="CA313" s="120"/>
      <c r="CB313" s="120"/>
      <c r="CC313" s="120"/>
      <c r="CD313" s="120"/>
      <c r="CE313" s="120"/>
      <c r="CF313" s="120"/>
      <c r="CG313" s="120"/>
      <c r="CH313" s="120"/>
      <c r="CI313" s="120"/>
      <c r="CJ313" s="120"/>
      <c r="CK313" s="120"/>
      <c r="CL313" s="120"/>
      <c r="CM313" s="120"/>
      <c r="CN313" s="120"/>
      <c r="CO313" s="120"/>
      <c r="CP313" s="120"/>
      <c r="CQ313" s="120"/>
      <c r="CR313" s="120"/>
      <c r="CS313" s="120"/>
      <c r="CT313" s="120"/>
      <c r="CU313" s="120"/>
      <c r="CV313" s="120"/>
      <c r="CW313" s="120"/>
      <c r="CX313" s="120"/>
      <c r="CY313" s="120"/>
      <c r="CZ313" s="120"/>
      <c r="DA313" s="120"/>
      <c r="DB313" s="120"/>
      <c r="DC313" s="120"/>
      <c r="DD313" s="120"/>
      <c r="DE313" s="120"/>
      <c r="DF313" s="120"/>
      <c r="DG313" s="120"/>
      <c r="DH313" s="120"/>
      <c r="DI313" s="120"/>
      <c r="DJ313" s="120"/>
      <c r="DK313" s="120"/>
      <c r="DL313" s="120"/>
      <c r="DM313" s="120"/>
      <c r="DN313" s="120"/>
      <c r="DO313" s="120"/>
      <c r="DP313" s="120"/>
      <c r="DQ313" s="120"/>
      <c r="DR313" s="120"/>
      <c r="DS313" s="120"/>
      <c r="DT313" s="120"/>
      <c r="DU313" s="120"/>
      <c r="DV313" s="120"/>
      <c r="DW313" s="120"/>
      <c r="DX313" s="120"/>
      <c r="DY313" s="120"/>
      <c r="DZ313" s="120"/>
      <c r="EA313" s="120"/>
      <c r="EB313" s="120"/>
      <c r="EC313" s="120"/>
      <c r="ED313" s="120"/>
      <c r="EE313" s="120"/>
      <c r="EF313" s="120"/>
      <c r="EG313" s="120"/>
      <c r="EH313" s="120"/>
      <c r="EI313" s="120"/>
      <c r="EJ313" s="120"/>
      <c r="EK313" s="120"/>
      <c r="EL313" s="120"/>
      <c r="EM313" s="120"/>
      <c r="EN313" s="120"/>
      <c r="EO313" s="120"/>
      <c r="EP313" s="120"/>
      <c r="EQ313" s="120"/>
      <c r="ER313" s="120"/>
      <c r="ES313" s="120"/>
      <c r="ET313" s="120"/>
      <c r="EU313" s="120"/>
      <c r="EV313" s="120"/>
      <c r="EW313" s="120"/>
      <c r="EX313" s="120"/>
      <c r="EY313" s="120"/>
      <c r="EZ313" s="120"/>
      <c r="FA313" s="120"/>
      <c r="FB313" s="120"/>
      <c r="FC313" s="120"/>
      <c r="FD313" s="120"/>
      <c r="FE313" s="120"/>
      <c r="FF313" s="120"/>
      <c r="FG313" s="120"/>
      <c r="FH313" s="120"/>
      <c r="FI313" s="120"/>
      <c r="FJ313" s="120"/>
      <c r="FK313" s="120"/>
      <c r="FL313" s="120"/>
      <c r="FM313" s="120"/>
      <c r="FN313" s="120"/>
      <c r="FO313" s="120"/>
      <c r="FP313" s="120"/>
      <c r="FQ313" s="120"/>
      <c r="FR313" s="120"/>
      <c r="FS313" s="120"/>
      <c r="FT313" s="120"/>
      <c r="FU313" s="120"/>
      <c r="FV313" s="120"/>
      <c r="FW313" s="120"/>
      <c r="FX313" s="120"/>
      <c r="FY313" s="120"/>
      <c r="FZ313" s="120"/>
      <c r="GA313" s="120"/>
      <c r="GB313" s="120"/>
      <c r="GC313" s="120"/>
      <c r="GD313" s="120"/>
      <c r="GE313" s="120"/>
      <c r="GF313" s="120"/>
      <c r="GG313" s="120"/>
      <c r="GH313" s="120"/>
      <c r="GI313" s="120"/>
      <c r="GJ313" s="120"/>
      <c r="GK313" s="120"/>
      <c r="GL313" s="120"/>
      <c r="GM313" s="120"/>
      <c r="GN313" s="120"/>
      <c r="GO313" s="120"/>
      <c r="GP313" s="120"/>
      <c r="GQ313" s="120"/>
      <c r="GR313" s="120"/>
      <c r="GS313" s="120"/>
      <c r="GT313" s="120"/>
      <c r="GU313" s="120"/>
      <c r="GV313" s="120"/>
      <c r="GW313" s="120"/>
      <c r="GX313" s="120"/>
      <c r="GY313" s="120"/>
      <c r="GZ313" s="120"/>
      <c r="HA313" s="120"/>
      <c r="HB313" s="120"/>
      <c r="HC313" s="120"/>
      <c r="HD313" s="120"/>
      <c r="HE313" s="120"/>
      <c r="HF313" s="120"/>
      <c r="HG313" s="120"/>
      <c r="HH313" s="120"/>
      <c r="HI313" s="120"/>
      <c r="HJ313" s="120"/>
      <c r="HK313" s="120"/>
      <c r="HL313" s="120"/>
      <c r="HM313" s="120"/>
      <c r="HN313" s="120"/>
      <c r="HO313" s="120"/>
      <c r="HP313" s="120"/>
      <c r="HQ313" s="120"/>
      <c r="HR313" s="120"/>
      <c r="HS313" s="120"/>
      <c r="HT313" s="120"/>
      <c r="HU313" s="120"/>
      <c r="HV313" s="120"/>
      <c r="HW313" s="120"/>
      <c r="HX313" s="120"/>
      <c r="HY313" s="120"/>
      <c r="HZ313" s="120"/>
      <c r="IA313" s="120"/>
      <c r="IB313" s="120"/>
      <c r="IC313" s="120"/>
      <c r="ID313" s="120"/>
      <c r="IE313" s="120"/>
      <c r="IF313" s="120"/>
      <c r="IG313" s="120"/>
      <c r="IH313" s="120"/>
      <c r="II313" s="120"/>
      <c r="IJ313" s="120"/>
      <c r="IK313" s="120"/>
      <c r="IL313" s="120"/>
      <c r="IM313" s="120"/>
    </row>
    <row r="314" spans="1:247" ht="33" customHeight="1" x14ac:dyDescent="0.25">
      <c r="B314" s="823" t="s">
        <v>389</v>
      </c>
      <c r="C314" s="823"/>
      <c r="D314" s="823"/>
      <c r="E314" s="823"/>
      <c r="F314" s="823"/>
      <c r="G314" s="688"/>
      <c r="H314" s="431"/>
      <c r="I314" s="718"/>
      <c r="J314" s="718"/>
      <c r="K314" s="718"/>
      <c r="L314" s="718"/>
      <c r="M314" s="718"/>
      <c r="N314" s="718"/>
      <c r="O314" s="718"/>
      <c r="P314" s="718"/>
      <c r="Q314" s="718"/>
      <c r="R314" s="718"/>
      <c r="S314" s="718"/>
      <c r="T314" s="718"/>
      <c r="U314" s="718"/>
      <c r="V314" s="718"/>
      <c r="W314" s="718"/>
      <c r="X314" s="718"/>
      <c r="Y314" s="718"/>
      <c r="Z314" s="718"/>
      <c r="AA314" s="718"/>
      <c r="AB314" s="718"/>
      <c r="AC314" s="718"/>
      <c r="AD314" s="718"/>
      <c r="AE314" s="718"/>
      <c r="AF314" s="718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20"/>
      <c r="AV314" s="120"/>
      <c r="AW314" s="120"/>
      <c r="AX314" s="120"/>
      <c r="AY314" s="120"/>
      <c r="AZ314" s="120"/>
      <c r="BA314" s="120"/>
      <c r="BB314" s="120"/>
      <c r="BC314" s="120"/>
      <c r="BD314" s="120"/>
      <c r="BE314" s="120"/>
      <c r="BF314" s="120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20"/>
      <c r="BS314" s="120"/>
      <c r="BT314" s="120"/>
      <c r="BU314" s="120"/>
      <c r="BV314" s="120"/>
      <c r="BW314" s="120"/>
      <c r="BX314" s="120"/>
      <c r="BY314" s="120"/>
      <c r="BZ314" s="120"/>
      <c r="CA314" s="120"/>
      <c r="CB314" s="120"/>
      <c r="CC314" s="120"/>
      <c r="CD314" s="120"/>
      <c r="CE314" s="120"/>
      <c r="CF314" s="120"/>
      <c r="CG314" s="120"/>
      <c r="CH314" s="120"/>
      <c r="CI314" s="120"/>
      <c r="CJ314" s="120"/>
      <c r="CK314" s="120"/>
      <c r="CL314" s="120"/>
      <c r="CM314" s="120"/>
      <c r="CN314" s="120"/>
      <c r="CO314" s="120"/>
      <c r="CP314" s="120"/>
      <c r="CQ314" s="120"/>
      <c r="CR314" s="120"/>
      <c r="CS314" s="120"/>
      <c r="CT314" s="120"/>
      <c r="CU314" s="120"/>
      <c r="CV314" s="120"/>
      <c r="CW314" s="120"/>
      <c r="CX314" s="120"/>
      <c r="CY314" s="120"/>
      <c r="CZ314" s="120"/>
      <c r="DA314" s="120"/>
      <c r="DB314" s="120"/>
      <c r="DC314" s="120"/>
      <c r="DD314" s="120"/>
      <c r="DE314" s="120"/>
      <c r="DF314" s="120"/>
      <c r="DG314" s="120"/>
      <c r="DH314" s="120"/>
      <c r="DI314" s="120"/>
      <c r="DJ314" s="120"/>
      <c r="DK314" s="120"/>
      <c r="DL314" s="120"/>
      <c r="DM314" s="120"/>
      <c r="DN314" s="120"/>
      <c r="DO314" s="120"/>
      <c r="DP314" s="120"/>
      <c r="DQ314" s="120"/>
      <c r="DR314" s="120"/>
      <c r="DS314" s="120"/>
      <c r="DT314" s="120"/>
      <c r="DU314" s="120"/>
      <c r="DV314" s="120"/>
      <c r="DW314" s="120"/>
      <c r="DX314" s="120"/>
      <c r="DY314" s="120"/>
      <c r="DZ314" s="120"/>
      <c r="EA314" s="120"/>
      <c r="EB314" s="120"/>
      <c r="EC314" s="120"/>
      <c r="ED314" s="120"/>
      <c r="EE314" s="120"/>
      <c r="EF314" s="120"/>
      <c r="EG314" s="120"/>
      <c r="EH314" s="120"/>
      <c r="EI314" s="120"/>
      <c r="EJ314" s="120"/>
      <c r="EK314" s="120"/>
      <c r="EL314" s="120"/>
      <c r="EM314" s="120"/>
      <c r="EN314" s="120"/>
      <c r="EO314" s="120"/>
      <c r="EP314" s="120"/>
      <c r="EQ314" s="120"/>
      <c r="ER314" s="120"/>
      <c r="ES314" s="120"/>
      <c r="ET314" s="120"/>
      <c r="EU314" s="120"/>
      <c r="EV314" s="120"/>
      <c r="EW314" s="120"/>
      <c r="EX314" s="120"/>
      <c r="EY314" s="120"/>
      <c r="EZ314" s="120"/>
      <c r="FA314" s="120"/>
      <c r="FB314" s="120"/>
      <c r="FC314" s="120"/>
      <c r="FD314" s="120"/>
      <c r="FE314" s="120"/>
      <c r="FF314" s="120"/>
      <c r="FG314" s="120"/>
      <c r="FH314" s="120"/>
      <c r="FI314" s="120"/>
      <c r="FJ314" s="120"/>
      <c r="FK314" s="120"/>
      <c r="FL314" s="120"/>
      <c r="FM314" s="120"/>
      <c r="FN314" s="120"/>
      <c r="FO314" s="120"/>
      <c r="FP314" s="120"/>
      <c r="FQ314" s="120"/>
      <c r="FR314" s="120"/>
      <c r="FS314" s="120"/>
      <c r="FT314" s="120"/>
      <c r="FU314" s="120"/>
      <c r="FV314" s="120"/>
      <c r="FW314" s="120"/>
      <c r="FX314" s="120"/>
      <c r="FY314" s="120"/>
      <c r="FZ314" s="120"/>
      <c r="GA314" s="120"/>
      <c r="GB314" s="120"/>
      <c r="GC314" s="120"/>
      <c r="GD314" s="120"/>
      <c r="GE314" s="120"/>
      <c r="GF314" s="120"/>
      <c r="GG314" s="120"/>
      <c r="GH314" s="120"/>
      <c r="GI314" s="120"/>
      <c r="GJ314" s="120"/>
      <c r="GK314" s="120"/>
      <c r="GL314" s="120"/>
      <c r="GM314" s="120"/>
      <c r="GN314" s="120"/>
      <c r="GO314" s="120"/>
      <c r="GP314" s="120"/>
      <c r="GQ314" s="120"/>
      <c r="GR314" s="120"/>
      <c r="GS314" s="120"/>
      <c r="GT314" s="120"/>
      <c r="GU314" s="120"/>
      <c r="GV314" s="120"/>
      <c r="GW314" s="120"/>
      <c r="GX314" s="120"/>
      <c r="GY314" s="120"/>
      <c r="GZ314" s="120"/>
      <c r="HA314" s="120"/>
      <c r="HB314" s="120"/>
      <c r="HC314" s="120"/>
      <c r="HD314" s="120"/>
      <c r="HE314" s="120"/>
      <c r="HF314" s="120"/>
      <c r="HG314" s="120"/>
      <c r="HH314" s="120"/>
      <c r="HI314" s="120"/>
      <c r="HJ314" s="120"/>
      <c r="HK314" s="120"/>
      <c r="HL314" s="120"/>
      <c r="HM314" s="120"/>
      <c r="HN314" s="120"/>
      <c r="HO314" s="120"/>
      <c r="HP314" s="120"/>
      <c r="HQ314" s="120"/>
      <c r="HR314" s="120"/>
      <c r="HS314" s="120"/>
      <c r="HT314" s="120"/>
      <c r="HU314" s="120"/>
      <c r="HV314" s="120"/>
      <c r="HW314" s="120"/>
      <c r="HX314" s="120"/>
      <c r="HY314" s="120"/>
      <c r="HZ314" s="120"/>
      <c r="IA314" s="120"/>
      <c r="IB314" s="120"/>
      <c r="IC314" s="120"/>
      <c r="ID314" s="120"/>
      <c r="IE314" s="120"/>
      <c r="IF314" s="120"/>
      <c r="IG314" s="120"/>
      <c r="IH314" s="120"/>
      <c r="II314" s="120"/>
      <c r="IJ314" s="120"/>
      <c r="IK314" s="120"/>
      <c r="IL314" s="120"/>
      <c r="IM314" s="120"/>
    </row>
    <row r="315" spans="1:247" ht="47.25" x14ac:dyDescent="0.25">
      <c r="B315" s="89" t="s">
        <v>105</v>
      </c>
      <c r="C315" s="50" t="s">
        <v>52</v>
      </c>
      <c r="D315" s="90">
        <v>100</v>
      </c>
      <c r="E315" s="305">
        <v>100</v>
      </c>
      <c r="F315" s="64">
        <f t="shared" ref="F315:F345" si="9">IF((E315/D315*100)&gt;100,"100",E315/D315*100)</f>
        <v>100</v>
      </c>
      <c r="G315" s="688"/>
      <c r="H315" s="80" t="s">
        <v>991</v>
      </c>
      <c r="I315" s="718"/>
      <c r="J315" s="718"/>
      <c r="K315" s="718"/>
      <c r="L315" s="718"/>
      <c r="M315" s="718"/>
      <c r="N315" s="718"/>
      <c r="O315" s="718"/>
      <c r="P315" s="718"/>
      <c r="Q315" s="718"/>
      <c r="R315" s="718"/>
      <c r="S315" s="718"/>
      <c r="T315" s="718"/>
      <c r="U315" s="718"/>
      <c r="V315" s="718"/>
      <c r="W315" s="718"/>
      <c r="X315" s="718"/>
      <c r="Y315" s="718"/>
      <c r="Z315" s="718"/>
      <c r="AA315" s="718"/>
      <c r="AB315" s="718"/>
      <c r="AC315" s="718"/>
      <c r="AD315" s="718"/>
      <c r="AE315" s="718"/>
      <c r="AF315" s="718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20"/>
      <c r="AV315" s="120"/>
      <c r="AW315" s="120"/>
      <c r="AX315" s="120"/>
      <c r="AY315" s="120"/>
      <c r="AZ315" s="120"/>
      <c r="BA315" s="120"/>
      <c r="BB315" s="120"/>
      <c r="BC315" s="120"/>
      <c r="BD315" s="120"/>
      <c r="BE315" s="120"/>
      <c r="BF315" s="120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20"/>
      <c r="BS315" s="120"/>
      <c r="BT315" s="120"/>
      <c r="BU315" s="120"/>
      <c r="BV315" s="120"/>
      <c r="BW315" s="120"/>
      <c r="BX315" s="120"/>
      <c r="BY315" s="120"/>
      <c r="BZ315" s="120"/>
      <c r="CA315" s="120"/>
      <c r="CB315" s="120"/>
      <c r="CC315" s="120"/>
      <c r="CD315" s="120"/>
      <c r="CE315" s="120"/>
      <c r="CF315" s="120"/>
      <c r="CG315" s="120"/>
      <c r="CH315" s="120"/>
      <c r="CI315" s="120"/>
      <c r="CJ315" s="120"/>
      <c r="CK315" s="120"/>
      <c r="CL315" s="120"/>
      <c r="CM315" s="120"/>
      <c r="CN315" s="120"/>
      <c r="CO315" s="120"/>
      <c r="CP315" s="120"/>
      <c r="CQ315" s="120"/>
      <c r="CR315" s="120"/>
      <c r="CS315" s="120"/>
      <c r="CT315" s="120"/>
      <c r="CU315" s="120"/>
      <c r="CV315" s="120"/>
      <c r="CW315" s="120"/>
      <c r="CX315" s="120"/>
      <c r="CY315" s="120"/>
      <c r="CZ315" s="120"/>
      <c r="DA315" s="120"/>
      <c r="DB315" s="120"/>
      <c r="DC315" s="120"/>
      <c r="DD315" s="120"/>
      <c r="DE315" s="120"/>
      <c r="DF315" s="120"/>
      <c r="DG315" s="120"/>
      <c r="DH315" s="120"/>
      <c r="DI315" s="120"/>
      <c r="DJ315" s="120"/>
      <c r="DK315" s="120"/>
      <c r="DL315" s="120"/>
      <c r="DM315" s="120"/>
      <c r="DN315" s="120"/>
      <c r="DO315" s="120"/>
      <c r="DP315" s="120"/>
      <c r="DQ315" s="120"/>
      <c r="DR315" s="120"/>
      <c r="DS315" s="120"/>
      <c r="DT315" s="120"/>
      <c r="DU315" s="120"/>
      <c r="DV315" s="120"/>
      <c r="DW315" s="120"/>
      <c r="DX315" s="120"/>
      <c r="DY315" s="120"/>
      <c r="DZ315" s="120"/>
      <c r="EA315" s="120"/>
      <c r="EB315" s="120"/>
      <c r="EC315" s="120"/>
      <c r="ED315" s="120"/>
      <c r="EE315" s="120"/>
      <c r="EF315" s="120"/>
      <c r="EG315" s="120"/>
      <c r="EH315" s="120"/>
      <c r="EI315" s="120"/>
      <c r="EJ315" s="120"/>
      <c r="EK315" s="120"/>
      <c r="EL315" s="120"/>
      <c r="EM315" s="120"/>
      <c r="EN315" s="120"/>
      <c r="EO315" s="120"/>
      <c r="EP315" s="120"/>
      <c r="EQ315" s="120"/>
      <c r="ER315" s="120"/>
      <c r="ES315" s="120"/>
      <c r="ET315" s="120"/>
      <c r="EU315" s="120"/>
      <c r="EV315" s="120"/>
      <c r="EW315" s="120"/>
      <c r="EX315" s="120"/>
      <c r="EY315" s="120"/>
      <c r="EZ315" s="120"/>
      <c r="FA315" s="120"/>
      <c r="FB315" s="120"/>
      <c r="FC315" s="120"/>
      <c r="FD315" s="120"/>
      <c r="FE315" s="120"/>
      <c r="FF315" s="120"/>
      <c r="FG315" s="120"/>
      <c r="FH315" s="120"/>
      <c r="FI315" s="120"/>
      <c r="FJ315" s="120"/>
      <c r="FK315" s="120"/>
      <c r="FL315" s="120"/>
      <c r="FM315" s="120"/>
      <c r="FN315" s="120"/>
      <c r="FO315" s="120"/>
      <c r="FP315" s="120"/>
      <c r="FQ315" s="120"/>
      <c r="FR315" s="120"/>
      <c r="FS315" s="120"/>
      <c r="FT315" s="120"/>
      <c r="FU315" s="120"/>
      <c r="FV315" s="120"/>
      <c r="FW315" s="120"/>
      <c r="FX315" s="120"/>
      <c r="FY315" s="120"/>
      <c r="FZ315" s="120"/>
      <c r="GA315" s="120"/>
      <c r="GB315" s="120"/>
      <c r="GC315" s="120"/>
      <c r="GD315" s="120"/>
      <c r="GE315" s="120"/>
      <c r="GF315" s="120"/>
      <c r="GG315" s="120"/>
      <c r="GH315" s="120"/>
      <c r="GI315" s="120"/>
      <c r="GJ315" s="120"/>
      <c r="GK315" s="120"/>
      <c r="GL315" s="120"/>
      <c r="GM315" s="120"/>
      <c r="GN315" s="120"/>
      <c r="GO315" s="120"/>
      <c r="GP315" s="120"/>
      <c r="GQ315" s="120"/>
      <c r="GR315" s="120"/>
      <c r="GS315" s="120"/>
      <c r="GT315" s="120"/>
      <c r="GU315" s="120"/>
      <c r="GV315" s="120"/>
      <c r="GW315" s="120"/>
      <c r="GX315" s="120"/>
      <c r="GY315" s="120"/>
      <c r="GZ315" s="120"/>
      <c r="HA315" s="120"/>
      <c r="HB315" s="120"/>
      <c r="HC315" s="120"/>
      <c r="HD315" s="120"/>
      <c r="HE315" s="120"/>
      <c r="HF315" s="120"/>
      <c r="HG315" s="120"/>
      <c r="HH315" s="120"/>
      <c r="HI315" s="120"/>
      <c r="HJ315" s="120"/>
      <c r="HK315" s="120"/>
      <c r="HL315" s="120"/>
      <c r="HM315" s="120"/>
      <c r="HN315" s="120"/>
      <c r="HO315" s="120"/>
      <c r="HP315" s="120"/>
      <c r="HQ315" s="120"/>
      <c r="HR315" s="120"/>
      <c r="HS315" s="120"/>
      <c r="HT315" s="120"/>
      <c r="HU315" s="120"/>
      <c r="HV315" s="120"/>
      <c r="HW315" s="120"/>
      <c r="HX315" s="120"/>
      <c r="HY315" s="120"/>
      <c r="HZ315" s="120"/>
      <c r="IA315" s="120"/>
      <c r="IB315" s="120"/>
      <c r="IC315" s="120"/>
      <c r="ID315" s="120"/>
      <c r="IE315" s="120"/>
      <c r="IF315" s="120"/>
      <c r="IG315" s="120"/>
      <c r="IH315" s="120"/>
      <c r="II315" s="120"/>
      <c r="IJ315" s="120"/>
      <c r="IK315" s="120"/>
      <c r="IL315" s="120"/>
      <c r="IM315" s="120"/>
    </row>
    <row r="316" spans="1:247" ht="38.25" customHeight="1" x14ac:dyDescent="0.25">
      <c r="B316" s="306" t="s">
        <v>106</v>
      </c>
      <c r="C316" s="50" t="s">
        <v>41</v>
      </c>
      <c r="D316" s="90">
        <v>62.5</v>
      </c>
      <c r="E316" s="90">
        <v>64.3</v>
      </c>
      <c r="F316" s="64" t="str">
        <f t="shared" si="9"/>
        <v>100</v>
      </c>
      <c r="G316" s="688"/>
      <c r="H316" s="80" t="s">
        <v>1208</v>
      </c>
      <c r="I316" s="718"/>
      <c r="J316" s="718"/>
      <c r="K316" s="718"/>
      <c r="L316" s="718"/>
      <c r="M316" s="718"/>
      <c r="N316" s="718"/>
      <c r="O316" s="718"/>
      <c r="P316" s="718"/>
      <c r="Q316" s="718"/>
      <c r="R316" s="718"/>
      <c r="S316" s="718"/>
      <c r="T316" s="718"/>
      <c r="U316" s="718"/>
      <c r="V316" s="718"/>
      <c r="W316" s="718"/>
      <c r="X316" s="718"/>
      <c r="Y316" s="718"/>
      <c r="Z316" s="718"/>
      <c r="AA316" s="718"/>
      <c r="AB316" s="718"/>
      <c r="AC316" s="718"/>
      <c r="AD316" s="718"/>
      <c r="AE316" s="718"/>
      <c r="AF316" s="718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20"/>
      <c r="AV316" s="120"/>
      <c r="AW316" s="120"/>
      <c r="AX316" s="120"/>
      <c r="AY316" s="120"/>
      <c r="AZ316" s="120"/>
      <c r="BA316" s="120"/>
      <c r="BB316" s="120"/>
      <c r="BC316" s="120"/>
      <c r="BD316" s="120"/>
      <c r="BE316" s="120"/>
      <c r="BF316" s="120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20"/>
      <c r="BS316" s="120"/>
      <c r="BT316" s="120"/>
      <c r="BU316" s="120"/>
      <c r="BV316" s="120"/>
      <c r="BW316" s="120"/>
      <c r="BX316" s="120"/>
      <c r="BY316" s="120"/>
      <c r="BZ316" s="120"/>
      <c r="CA316" s="120"/>
      <c r="CB316" s="120"/>
      <c r="CC316" s="120"/>
      <c r="CD316" s="120"/>
      <c r="CE316" s="120"/>
      <c r="CF316" s="120"/>
      <c r="CG316" s="120"/>
      <c r="CH316" s="120"/>
      <c r="CI316" s="120"/>
      <c r="CJ316" s="120"/>
      <c r="CK316" s="120"/>
      <c r="CL316" s="120"/>
      <c r="CM316" s="120"/>
      <c r="CN316" s="120"/>
      <c r="CO316" s="120"/>
      <c r="CP316" s="120"/>
      <c r="CQ316" s="120"/>
      <c r="CR316" s="120"/>
      <c r="CS316" s="120"/>
      <c r="CT316" s="120"/>
      <c r="CU316" s="120"/>
      <c r="CV316" s="120"/>
      <c r="CW316" s="120"/>
      <c r="CX316" s="120"/>
      <c r="CY316" s="120"/>
      <c r="CZ316" s="120"/>
      <c r="DA316" s="120"/>
      <c r="DB316" s="120"/>
      <c r="DC316" s="120"/>
      <c r="DD316" s="120"/>
      <c r="DE316" s="120"/>
      <c r="DF316" s="120"/>
      <c r="DG316" s="120"/>
      <c r="DH316" s="120"/>
      <c r="DI316" s="120"/>
      <c r="DJ316" s="120"/>
      <c r="DK316" s="120"/>
      <c r="DL316" s="120"/>
      <c r="DM316" s="120"/>
      <c r="DN316" s="120"/>
      <c r="DO316" s="120"/>
      <c r="DP316" s="120"/>
      <c r="DQ316" s="120"/>
      <c r="DR316" s="120"/>
      <c r="DS316" s="120"/>
      <c r="DT316" s="120"/>
      <c r="DU316" s="120"/>
      <c r="DV316" s="120"/>
      <c r="DW316" s="120"/>
      <c r="DX316" s="120"/>
      <c r="DY316" s="120"/>
      <c r="DZ316" s="120"/>
      <c r="EA316" s="120"/>
      <c r="EB316" s="120"/>
      <c r="EC316" s="120"/>
      <c r="ED316" s="120"/>
      <c r="EE316" s="120"/>
      <c r="EF316" s="120"/>
      <c r="EG316" s="120"/>
      <c r="EH316" s="120"/>
      <c r="EI316" s="120"/>
      <c r="EJ316" s="120"/>
      <c r="EK316" s="120"/>
      <c r="EL316" s="120"/>
      <c r="EM316" s="120"/>
      <c r="EN316" s="120"/>
      <c r="EO316" s="120"/>
      <c r="EP316" s="120"/>
      <c r="EQ316" s="120"/>
      <c r="ER316" s="120"/>
      <c r="ES316" s="120"/>
      <c r="ET316" s="120"/>
      <c r="EU316" s="120"/>
      <c r="EV316" s="120"/>
      <c r="EW316" s="120"/>
      <c r="EX316" s="120"/>
      <c r="EY316" s="120"/>
      <c r="EZ316" s="120"/>
      <c r="FA316" s="120"/>
      <c r="FB316" s="120"/>
      <c r="FC316" s="120"/>
      <c r="FD316" s="120"/>
      <c r="FE316" s="120"/>
      <c r="FF316" s="120"/>
      <c r="FG316" s="120"/>
      <c r="FH316" s="120"/>
      <c r="FI316" s="120"/>
      <c r="FJ316" s="120"/>
      <c r="FK316" s="120"/>
      <c r="FL316" s="120"/>
      <c r="FM316" s="120"/>
      <c r="FN316" s="120"/>
      <c r="FO316" s="120"/>
      <c r="FP316" s="120"/>
      <c r="FQ316" s="120"/>
      <c r="FR316" s="120"/>
      <c r="FS316" s="120"/>
      <c r="FT316" s="120"/>
      <c r="FU316" s="120"/>
      <c r="FV316" s="120"/>
      <c r="FW316" s="120"/>
      <c r="FX316" s="120"/>
      <c r="FY316" s="120"/>
      <c r="FZ316" s="120"/>
      <c r="GA316" s="120"/>
      <c r="GB316" s="120"/>
      <c r="GC316" s="120"/>
      <c r="GD316" s="120"/>
      <c r="GE316" s="120"/>
      <c r="GF316" s="120"/>
      <c r="GG316" s="120"/>
      <c r="GH316" s="120"/>
      <c r="GI316" s="120"/>
      <c r="GJ316" s="120"/>
      <c r="GK316" s="120"/>
      <c r="GL316" s="120"/>
      <c r="GM316" s="120"/>
      <c r="GN316" s="120"/>
      <c r="GO316" s="120"/>
      <c r="GP316" s="120"/>
      <c r="GQ316" s="120"/>
      <c r="GR316" s="120"/>
      <c r="GS316" s="120"/>
      <c r="GT316" s="120"/>
      <c r="GU316" s="120"/>
      <c r="GV316" s="120"/>
      <c r="GW316" s="120"/>
      <c r="GX316" s="120"/>
      <c r="GY316" s="120"/>
      <c r="GZ316" s="120"/>
      <c r="HA316" s="120"/>
      <c r="HB316" s="120"/>
      <c r="HC316" s="120"/>
      <c r="HD316" s="120"/>
      <c r="HE316" s="120"/>
      <c r="HF316" s="120"/>
      <c r="HG316" s="120"/>
      <c r="HH316" s="120"/>
      <c r="HI316" s="120"/>
      <c r="HJ316" s="120"/>
      <c r="HK316" s="120"/>
      <c r="HL316" s="120"/>
      <c r="HM316" s="120"/>
      <c r="HN316" s="120"/>
      <c r="HO316" s="120"/>
      <c r="HP316" s="120"/>
      <c r="HQ316" s="120"/>
      <c r="HR316" s="120"/>
      <c r="HS316" s="120"/>
      <c r="HT316" s="120"/>
      <c r="HU316" s="120"/>
      <c r="HV316" s="120"/>
      <c r="HW316" s="120"/>
      <c r="HX316" s="120"/>
      <c r="HY316" s="120"/>
      <c r="HZ316" s="120"/>
      <c r="IA316" s="120"/>
      <c r="IB316" s="120"/>
      <c r="IC316" s="120"/>
      <c r="ID316" s="120"/>
      <c r="IE316" s="120"/>
      <c r="IF316" s="120"/>
      <c r="IG316" s="120"/>
      <c r="IH316" s="120"/>
      <c r="II316" s="120"/>
      <c r="IJ316" s="120"/>
      <c r="IK316" s="120"/>
      <c r="IL316" s="120"/>
      <c r="IM316" s="120"/>
    </row>
    <row r="317" spans="1:247" ht="54" customHeight="1" x14ac:dyDescent="0.25">
      <c r="B317" s="306" t="s">
        <v>107</v>
      </c>
      <c r="C317" s="50" t="s">
        <v>41</v>
      </c>
      <c r="D317" s="90">
        <v>54</v>
      </c>
      <c r="E317" s="90">
        <v>44</v>
      </c>
      <c r="F317" s="64">
        <f t="shared" si="9"/>
        <v>81.481481481481481</v>
      </c>
      <c r="G317" s="688"/>
      <c r="H317" s="80" t="s">
        <v>992</v>
      </c>
      <c r="I317" s="718"/>
      <c r="J317" s="718"/>
      <c r="K317" s="718"/>
      <c r="L317" s="718"/>
      <c r="M317" s="718"/>
      <c r="N317" s="718"/>
      <c r="O317" s="718"/>
      <c r="P317" s="718"/>
      <c r="Q317" s="718"/>
      <c r="R317" s="718"/>
      <c r="S317" s="718"/>
      <c r="T317" s="718"/>
      <c r="U317" s="718"/>
      <c r="V317" s="718"/>
      <c r="W317" s="718"/>
      <c r="X317" s="718"/>
      <c r="Y317" s="718"/>
      <c r="Z317" s="718"/>
      <c r="AA317" s="718"/>
      <c r="AB317" s="718"/>
      <c r="AC317" s="718"/>
      <c r="AD317" s="718"/>
      <c r="AE317" s="718"/>
      <c r="AF317" s="718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20"/>
      <c r="AV317" s="120"/>
      <c r="AW317" s="120"/>
      <c r="AX317" s="120"/>
      <c r="AY317" s="120"/>
      <c r="AZ317" s="120"/>
      <c r="BA317" s="120"/>
      <c r="BB317" s="120"/>
      <c r="BC317" s="120"/>
      <c r="BD317" s="120"/>
      <c r="BE317" s="120"/>
      <c r="BF317" s="120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20"/>
      <c r="BS317" s="120"/>
      <c r="BT317" s="120"/>
      <c r="BU317" s="120"/>
      <c r="BV317" s="120"/>
      <c r="BW317" s="120"/>
      <c r="BX317" s="120"/>
      <c r="BY317" s="120"/>
      <c r="BZ317" s="120"/>
      <c r="CA317" s="120"/>
      <c r="CB317" s="120"/>
      <c r="CC317" s="120"/>
      <c r="CD317" s="120"/>
      <c r="CE317" s="120"/>
      <c r="CF317" s="120"/>
      <c r="CG317" s="120"/>
      <c r="CH317" s="120"/>
      <c r="CI317" s="120"/>
      <c r="CJ317" s="120"/>
      <c r="CK317" s="120"/>
      <c r="CL317" s="120"/>
      <c r="CM317" s="120"/>
      <c r="CN317" s="120"/>
      <c r="CO317" s="120"/>
      <c r="CP317" s="120"/>
      <c r="CQ317" s="120"/>
      <c r="CR317" s="120"/>
      <c r="CS317" s="120"/>
      <c r="CT317" s="120"/>
      <c r="CU317" s="120"/>
      <c r="CV317" s="120"/>
      <c r="CW317" s="120"/>
      <c r="CX317" s="120"/>
      <c r="CY317" s="120"/>
      <c r="CZ317" s="120"/>
      <c r="DA317" s="120"/>
      <c r="DB317" s="120"/>
      <c r="DC317" s="120"/>
      <c r="DD317" s="120"/>
      <c r="DE317" s="120"/>
      <c r="DF317" s="120"/>
      <c r="DG317" s="120"/>
      <c r="DH317" s="120"/>
      <c r="DI317" s="120"/>
      <c r="DJ317" s="120"/>
      <c r="DK317" s="120"/>
      <c r="DL317" s="120"/>
      <c r="DM317" s="120"/>
      <c r="DN317" s="120"/>
      <c r="DO317" s="120"/>
      <c r="DP317" s="120"/>
      <c r="DQ317" s="120"/>
      <c r="DR317" s="120"/>
      <c r="DS317" s="120"/>
      <c r="DT317" s="120"/>
      <c r="DU317" s="120"/>
      <c r="DV317" s="120"/>
      <c r="DW317" s="120"/>
      <c r="DX317" s="120"/>
      <c r="DY317" s="120"/>
      <c r="DZ317" s="120"/>
      <c r="EA317" s="120"/>
      <c r="EB317" s="120"/>
      <c r="EC317" s="120"/>
      <c r="ED317" s="120"/>
      <c r="EE317" s="120"/>
      <c r="EF317" s="120"/>
      <c r="EG317" s="120"/>
      <c r="EH317" s="120"/>
      <c r="EI317" s="120"/>
      <c r="EJ317" s="120"/>
      <c r="EK317" s="120"/>
      <c r="EL317" s="120"/>
      <c r="EM317" s="120"/>
      <c r="EN317" s="120"/>
      <c r="EO317" s="120"/>
      <c r="EP317" s="120"/>
      <c r="EQ317" s="120"/>
      <c r="ER317" s="120"/>
      <c r="ES317" s="120"/>
      <c r="ET317" s="120"/>
      <c r="EU317" s="120"/>
      <c r="EV317" s="120"/>
      <c r="EW317" s="120"/>
      <c r="EX317" s="120"/>
      <c r="EY317" s="120"/>
      <c r="EZ317" s="120"/>
      <c r="FA317" s="120"/>
      <c r="FB317" s="120"/>
      <c r="FC317" s="120"/>
      <c r="FD317" s="120"/>
      <c r="FE317" s="120"/>
      <c r="FF317" s="120"/>
      <c r="FG317" s="120"/>
      <c r="FH317" s="120"/>
      <c r="FI317" s="120"/>
      <c r="FJ317" s="120"/>
      <c r="FK317" s="120"/>
      <c r="FL317" s="120"/>
      <c r="FM317" s="120"/>
      <c r="FN317" s="120"/>
      <c r="FO317" s="120"/>
      <c r="FP317" s="120"/>
      <c r="FQ317" s="120"/>
      <c r="FR317" s="120"/>
      <c r="FS317" s="120"/>
      <c r="FT317" s="120"/>
      <c r="FU317" s="120"/>
      <c r="FV317" s="120"/>
      <c r="FW317" s="120"/>
      <c r="FX317" s="120"/>
      <c r="FY317" s="120"/>
      <c r="FZ317" s="120"/>
      <c r="GA317" s="120"/>
      <c r="GB317" s="120"/>
      <c r="GC317" s="120"/>
      <c r="GD317" s="120"/>
      <c r="GE317" s="120"/>
      <c r="GF317" s="120"/>
      <c r="GG317" s="120"/>
      <c r="GH317" s="120"/>
      <c r="GI317" s="120"/>
      <c r="GJ317" s="120"/>
      <c r="GK317" s="120"/>
      <c r="GL317" s="120"/>
      <c r="GM317" s="120"/>
      <c r="GN317" s="120"/>
      <c r="GO317" s="120"/>
      <c r="GP317" s="120"/>
      <c r="GQ317" s="120"/>
      <c r="GR317" s="120"/>
      <c r="GS317" s="120"/>
      <c r="GT317" s="120"/>
      <c r="GU317" s="120"/>
      <c r="GV317" s="120"/>
      <c r="GW317" s="120"/>
      <c r="GX317" s="120"/>
      <c r="GY317" s="120"/>
      <c r="GZ317" s="120"/>
      <c r="HA317" s="120"/>
      <c r="HB317" s="120"/>
      <c r="HC317" s="120"/>
      <c r="HD317" s="120"/>
      <c r="HE317" s="120"/>
      <c r="HF317" s="120"/>
      <c r="HG317" s="120"/>
      <c r="HH317" s="120"/>
      <c r="HI317" s="120"/>
      <c r="HJ317" s="120"/>
      <c r="HK317" s="120"/>
      <c r="HL317" s="120"/>
      <c r="HM317" s="120"/>
      <c r="HN317" s="120"/>
      <c r="HO317" s="120"/>
      <c r="HP317" s="120"/>
      <c r="HQ317" s="120"/>
      <c r="HR317" s="120"/>
      <c r="HS317" s="120"/>
      <c r="HT317" s="120"/>
      <c r="HU317" s="120"/>
      <c r="HV317" s="120"/>
      <c r="HW317" s="120"/>
      <c r="HX317" s="120"/>
      <c r="HY317" s="120"/>
      <c r="HZ317" s="120"/>
      <c r="IA317" s="120"/>
      <c r="IB317" s="120"/>
      <c r="IC317" s="120"/>
      <c r="ID317" s="120"/>
      <c r="IE317" s="120"/>
      <c r="IF317" s="120"/>
      <c r="IG317" s="120"/>
      <c r="IH317" s="120"/>
      <c r="II317" s="120"/>
      <c r="IJ317" s="120"/>
      <c r="IK317" s="120"/>
      <c r="IL317" s="120"/>
      <c r="IM317" s="120"/>
    </row>
    <row r="318" spans="1:247" ht="30.75" customHeight="1" x14ac:dyDescent="0.25">
      <c r="B318" s="306" t="s">
        <v>108</v>
      </c>
      <c r="C318" s="50" t="s">
        <v>41</v>
      </c>
      <c r="D318" s="90">
        <v>54.7</v>
      </c>
      <c r="E318" s="90">
        <v>53.3</v>
      </c>
      <c r="F318" s="64">
        <f t="shared" si="9"/>
        <v>97.440585009140761</v>
      </c>
      <c r="G318" s="688"/>
      <c r="H318" s="80" t="s">
        <v>1209</v>
      </c>
      <c r="I318" s="718"/>
      <c r="J318" s="718"/>
      <c r="K318" s="718"/>
      <c r="L318" s="718"/>
      <c r="M318" s="718"/>
      <c r="N318" s="718"/>
      <c r="O318" s="718"/>
      <c r="P318" s="718"/>
      <c r="Q318" s="718"/>
      <c r="R318" s="718"/>
      <c r="S318" s="718"/>
      <c r="T318" s="718"/>
      <c r="U318" s="718"/>
      <c r="V318" s="718"/>
      <c r="W318" s="718"/>
      <c r="X318" s="718"/>
      <c r="Y318" s="718"/>
      <c r="Z318" s="718"/>
      <c r="AA318" s="718"/>
      <c r="AB318" s="718"/>
      <c r="AC318" s="718"/>
      <c r="AD318" s="718"/>
      <c r="AE318" s="718"/>
      <c r="AF318" s="718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20"/>
      <c r="AV318" s="120"/>
      <c r="AW318" s="120"/>
      <c r="AX318" s="120"/>
      <c r="AY318" s="120"/>
      <c r="AZ318" s="120"/>
      <c r="BA318" s="120"/>
      <c r="BB318" s="120"/>
      <c r="BC318" s="120"/>
      <c r="BD318" s="120"/>
      <c r="BE318" s="120"/>
      <c r="BF318" s="120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20"/>
      <c r="BS318" s="120"/>
      <c r="BT318" s="120"/>
      <c r="BU318" s="120"/>
      <c r="BV318" s="120"/>
      <c r="BW318" s="120"/>
      <c r="BX318" s="120"/>
      <c r="BY318" s="120"/>
      <c r="BZ318" s="120"/>
      <c r="CA318" s="120"/>
      <c r="CB318" s="120"/>
      <c r="CC318" s="120"/>
      <c r="CD318" s="120"/>
      <c r="CE318" s="120"/>
      <c r="CF318" s="120"/>
      <c r="CG318" s="120"/>
      <c r="CH318" s="120"/>
      <c r="CI318" s="120"/>
      <c r="CJ318" s="120"/>
      <c r="CK318" s="120"/>
      <c r="CL318" s="120"/>
      <c r="CM318" s="120"/>
      <c r="CN318" s="120"/>
      <c r="CO318" s="120"/>
      <c r="CP318" s="120"/>
      <c r="CQ318" s="120"/>
      <c r="CR318" s="120"/>
      <c r="CS318" s="120"/>
      <c r="CT318" s="120"/>
      <c r="CU318" s="120"/>
      <c r="CV318" s="120"/>
      <c r="CW318" s="120"/>
      <c r="CX318" s="120"/>
      <c r="CY318" s="120"/>
      <c r="CZ318" s="120"/>
      <c r="DA318" s="120"/>
      <c r="DB318" s="120"/>
      <c r="DC318" s="120"/>
      <c r="DD318" s="120"/>
      <c r="DE318" s="120"/>
      <c r="DF318" s="120"/>
      <c r="DG318" s="120"/>
      <c r="DH318" s="120"/>
      <c r="DI318" s="120"/>
      <c r="DJ318" s="120"/>
      <c r="DK318" s="120"/>
      <c r="DL318" s="120"/>
      <c r="DM318" s="120"/>
      <c r="DN318" s="120"/>
      <c r="DO318" s="120"/>
      <c r="DP318" s="120"/>
      <c r="DQ318" s="120"/>
      <c r="DR318" s="120"/>
      <c r="DS318" s="120"/>
      <c r="DT318" s="120"/>
      <c r="DU318" s="120"/>
      <c r="DV318" s="120"/>
      <c r="DW318" s="120"/>
      <c r="DX318" s="120"/>
      <c r="DY318" s="120"/>
      <c r="DZ318" s="120"/>
      <c r="EA318" s="120"/>
      <c r="EB318" s="120"/>
      <c r="EC318" s="120"/>
      <c r="ED318" s="120"/>
      <c r="EE318" s="120"/>
      <c r="EF318" s="120"/>
      <c r="EG318" s="120"/>
      <c r="EH318" s="120"/>
      <c r="EI318" s="120"/>
      <c r="EJ318" s="120"/>
      <c r="EK318" s="120"/>
      <c r="EL318" s="120"/>
      <c r="EM318" s="120"/>
      <c r="EN318" s="120"/>
      <c r="EO318" s="120"/>
      <c r="EP318" s="120"/>
      <c r="EQ318" s="120"/>
      <c r="ER318" s="120"/>
      <c r="ES318" s="120"/>
      <c r="ET318" s="120"/>
      <c r="EU318" s="120"/>
      <c r="EV318" s="120"/>
      <c r="EW318" s="120"/>
      <c r="EX318" s="120"/>
      <c r="EY318" s="120"/>
      <c r="EZ318" s="120"/>
      <c r="FA318" s="120"/>
      <c r="FB318" s="120"/>
      <c r="FC318" s="120"/>
      <c r="FD318" s="120"/>
      <c r="FE318" s="120"/>
      <c r="FF318" s="120"/>
      <c r="FG318" s="120"/>
      <c r="FH318" s="120"/>
      <c r="FI318" s="120"/>
      <c r="FJ318" s="120"/>
      <c r="FK318" s="120"/>
      <c r="FL318" s="120"/>
      <c r="FM318" s="120"/>
      <c r="FN318" s="120"/>
      <c r="FO318" s="120"/>
      <c r="FP318" s="120"/>
      <c r="FQ318" s="120"/>
      <c r="FR318" s="120"/>
      <c r="FS318" s="120"/>
      <c r="FT318" s="120"/>
      <c r="FU318" s="120"/>
      <c r="FV318" s="120"/>
      <c r="FW318" s="120"/>
      <c r="FX318" s="120"/>
      <c r="FY318" s="120"/>
      <c r="FZ318" s="120"/>
      <c r="GA318" s="120"/>
      <c r="GB318" s="120"/>
      <c r="GC318" s="120"/>
      <c r="GD318" s="120"/>
      <c r="GE318" s="120"/>
      <c r="GF318" s="120"/>
      <c r="GG318" s="120"/>
      <c r="GH318" s="120"/>
      <c r="GI318" s="120"/>
      <c r="GJ318" s="120"/>
      <c r="GK318" s="120"/>
      <c r="GL318" s="120"/>
      <c r="GM318" s="120"/>
      <c r="GN318" s="120"/>
      <c r="GO318" s="120"/>
      <c r="GP318" s="120"/>
      <c r="GQ318" s="120"/>
      <c r="GR318" s="120"/>
      <c r="GS318" s="120"/>
      <c r="GT318" s="120"/>
      <c r="GU318" s="120"/>
      <c r="GV318" s="120"/>
      <c r="GW318" s="120"/>
      <c r="GX318" s="120"/>
      <c r="GY318" s="120"/>
      <c r="GZ318" s="120"/>
      <c r="HA318" s="120"/>
      <c r="HB318" s="120"/>
      <c r="HC318" s="120"/>
      <c r="HD318" s="120"/>
      <c r="HE318" s="120"/>
      <c r="HF318" s="120"/>
      <c r="HG318" s="120"/>
      <c r="HH318" s="120"/>
      <c r="HI318" s="120"/>
      <c r="HJ318" s="120"/>
      <c r="HK318" s="120"/>
      <c r="HL318" s="120"/>
      <c r="HM318" s="120"/>
      <c r="HN318" s="120"/>
      <c r="HO318" s="120"/>
      <c r="HP318" s="120"/>
      <c r="HQ318" s="120"/>
      <c r="HR318" s="120"/>
      <c r="HS318" s="120"/>
      <c r="HT318" s="120"/>
      <c r="HU318" s="120"/>
      <c r="HV318" s="120"/>
      <c r="HW318" s="120"/>
      <c r="HX318" s="120"/>
      <c r="HY318" s="120"/>
      <c r="HZ318" s="120"/>
      <c r="IA318" s="120"/>
      <c r="IB318" s="120"/>
      <c r="IC318" s="120"/>
      <c r="ID318" s="120"/>
      <c r="IE318" s="120"/>
      <c r="IF318" s="120"/>
      <c r="IG318" s="120"/>
      <c r="IH318" s="120"/>
      <c r="II318" s="120"/>
      <c r="IJ318" s="120"/>
      <c r="IK318" s="120"/>
      <c r="IL318" s="120"/>
      <c r="IM318" s="120"/>
    </row>
    <row r="319" spans="1:247" ht="62.25" customHeight="1" x14ac:dyDescent="0.25">
      <c r="B319" s="306" t="s">
        <v>109</v>
      </c>
      <c r="C319" s="50" t="s">
        <v>110</v>
      </c>
      <c r="D319" s="90">
        <v>3.5</v>
      </c>
      <c r="E319" s="90">
        <v>0</v>
      </c>
      <c r="F319" s="64">
        <f t="shared" si="9"/>
        <v>0</v>
      </c>
      <c r="G319" s="688"/>
      <c r="H319" s="80" t="s">
        <v>1210</v>
      </c>
      <c r="I319" s="718"/>
      <c r="J319" s="718"/>
      <c r="K319" s="718"/>
      <c r="L319" s="718"/>
      <c r="M319" s="718"/>
      <c r="N319" s="718"/>
      <c r="O319" s="718"/>
      <c r="P319" s="718"/>
      <c r="Q319" s="718"/>
      <c r="R319" s="718"/>
      <c r="S319" s="718"/>
      <c r="T319" s="718"/>
      <c r="U319" s="718"/>
      <c r="V319" s="718"/>
      <c r="W319" s="718"/>
      <c r="X319" s="718"/>
      <c r="Y319" s="718"/>
      <c r="Z319" s="718"/>
      <c r="AA319" s="718"/>
      <c r="AB319" s="718"/>
      <c r="AC319" s="718"/>
      <c r="AD319" s="718"/>
      <c r="AE319" s="718"/>
      <c r="AF319" s="718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20"/>
      <c r="AV319" s="120"/>
      <c r="AW319" s="120"/>
      <c r="AX319" s="120"/>
      <c r="AY319" s="120"/>
      <c r="AZ319" s="120"/>
      <c r="BA319" s="120"/>
      <c r="BB319" s="120"/>
      <c r="BC319" s="120"/>
      <c r="BD319" s="120"/>
      <c r="BE319" s="120"/>
      <c r="BF319" s="120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20"/>
      <c r="BS319" s="120"/>
      <c r="BT319" s="120"/>
      <c r="BU319" s="120"/>
      <c r="BV319" s="120"/>
      <c r="BW319" s="120"/>
      <c r="BX319" s="120"/>
      <c r="BY319" s="120"/>
      <c r="BZ319" s="120"/>
      <c r="CA319" s="120"/>
      <c r="CB319" s="120"/>
      <c r="CC319" s="120"/>
      <c r="CD319" s="120"/>
      <c r="CE319" s="120"/>
      <c r="CF319" s="120"/>
      <c r="CG319" s="120"/>
      <c r="CH319" s="120"/>
      <c r="CI319" s="120"/>
      <c r="CJ319" s="120"/>
      <c r="CK319" s="120"/>
      <c r="CL319" s="120"/>
      <c r="CM319" s="120"/>
      <c r="CN319" s="120"/>
      <c r="CO319" s="120"/>
      <c r="CP319" s="120"/>
      <c r="CQ319" s="120"/>
      <c r="CR319" s="120"/>
      <c r="CS319" s="120"/>
      <c r="CT319" s="120"/>
      <c r="CU319" s="120"/>
      <c r="CV319" s="120"/>
      <c r="CW319" s="120"/>
      <c r="CX319" s="120"/>
      <c r="CY319" s="120"/>
      <c r="CZ319" s="120"/>
      <c r="DA319" s="120"/>
      <c r="DB319" s="120"/>
      <c r="DC319" s="120"/>
      <c r="DD319" s="120"/>
      <c r="DE319" s="120"/>
      <c r="DF319" s="120"/>
      <c r="DG319" s="120"/>
      <c r="DH319" s="120"/>
      <c r="DI319" s="120"/>
      <c r="DJ319" s="120"/>
      <c r="DK319" s="120"/>
      <c r="DL319" s="120"/>
      <c r="DM319" s="120"/>
      <c r="DN319" s="120"/>
      <c r="DO319" s="120"/>
      <c r="DP319" s="120"/>
      <c r="DQ319" s="120"/>
      <c r="DR319" s="120"/>
      <c r="DS319" s="120"/>
      <c r="DT319" s="120"/>
      <c r="DU319" s="120"/>
      <c r="DV319" s="120"/>
      <c r="DW319" s="120"/>
      <c r="DX319" s="120"/>
      <c r="DY319" s="120"/>
      <c r="DZ319" s="120"/>
      <c r="EA319" s="120"/>
      <c r="EB319" s="120"/>
      <c r="EC319" s="120"/>
      <c r="ED319" s="120"/>
      <c r="EE319" s="120"/>
      <c r="EF319" s="120"/>
      <c r="EG319" s="120"/>
      <c r="EH319" s="120"/>
      <c r="EI319" s="120"/>
      <c r="EJ319" s="120"/>
      <c r="EK319" s="120"/>
      <c r="EL319" s="120"/>
      <c r="EM319" s="120"/>
      <c r="EN319" s="120"/>
      <c r="EO319" s="120"/>
      <c r="EP319" s="120"/>
      <c r="EQ319" s="120"/>
      <c r="ER319" s="120"/>
      <c r="ES319" s="120"/>
      <c r="ET319" s="120"/>
      <c r="EU319" s="120"/>
      <c r="EV319" s="120"/>
      <c r="EW319" s="120"/>
      <c r="EX319" s="120"/>
      <c r="EY319" s="120"/>
      <c r="EZ319" s="120"/>
      <c r="FA319" s="120"/>
      <c r="FB319" s="120"/>
      <c r="FC319" s="120"/>
      <c r="FD319" s="120"/>
      <c r="FE319" s="120"/>
      <c r="FF319" s="120"/>
      <c r="FG319" s="120"/>
      <c r="FH319" s="120"/>
      <c r="FI319" s="120"/>
      <c r="FJ319" s="120"/>
      <c r="FK319" s="120"/>
      <c r="FL319" s="120"/>
      <c r="FM319" s="120"/>
      <c r="FN319" s="120"/>
      <c r="FO319" s="120"/>
      <c r="FP319" s="120"/>
      <c r="FQ319" s="120"/>
      <c r="FR319" s="120"/>
      <c r="FS319" s="120"/>
      <c r="FT319" s="120"/>
      <c r="FU319" s="120"/>
      <c r="FV319" s="120"/>
      <c r="FW319" s="120"/>
      <c r="FX319" s="120"/>
      <c r="FY319" s="120"/>
      <c r="FZ319" s="120"/>
      <c r="GA319" s="120"/>
      <c r="GB319" s="120"/>
      <c r="GC319" s="120"/>
      <c r="GD319" s="120"/>
      <c r="GE319" s="120"/>
      <c r="GF319" s="120"/>
      <c r="GG319" s="120"/>
      <c r="GH319" s="120"/>
      <c r="GI319" s="120"/>
      <c r="GJ319" s="120"/>
      <c r="GK319" s="120"/>
      <c r="GL319" s="120"/>
      <c r="GM319" s="120"/>
      <c r="GN319" s="120"/>
      <c r="GO319" s="120"/>
      <c r="GP319" s="120"/>
      <c r="GQ319" s="120"/>
      <c r="GR319" s="120"/>
      <c r="GS319" s="120"/>
      <c r="GT319" s="120"/>
      <c r="GU319" s="120"/>
      <c r="GV319" s="120"/>
      <c r="GW319" s="120"/>
      <c r="GX319" s="120"/>
      <c r="GY319" s="120"/>
      <c r="GZ319" s="120"/>
      <c r="HA319" s="120"/>
      <c r="HB319" s="120"/>
      <c r="HC319" s="120"/>
      <c r="HD319" s="120"/>
      <c r="HE319" s="120"/>
      <c r="HF319" s="120"/>
      <c r="HG319" s="120"/>
      <c r="HH319" s="120"/>
      <c r="HI319" s="120"/>
      <c r="HJ319" s="120"/>
      <c r="HK319" s="120"/>
      <c r="HL319" s="120"/>
      <c r="HM319" s="120"/>
      <c r="HN319" s="120"/>
      <c r="HO319" s="120"/>
      <c r="HP319" s="120"/>
      <c r="HQ319" s="120"/>
      <c r="HR319" s="120"/>
      <c r="HS319" s="120"/>
      <c r="HT319" s="120"/>
      <c r="HU319" s="120"/>
      <c r="HV319" s="120"/>
      <c r="HW319" s="120"/>
      <c r="HX319" s="120"/>
      <c r="HY319" s="120"/>
      <c r="HZ319" s="120"/>
      <c r="IA319" s="120"/>
      <c r="IB319" s="120"/>
      <c r="IC319" s="120"/>
      <c r="ID319" s="120"/>
      <c r="IE319" s="120"/>
      <c r="IF319" s="120"/>
      <c r="IG319" s="120"/>
      <c r="IH319" s="120"/>
      <c r="II319" s="120"/>
      <c r="IJ319" s="120"/>
      <c r="IK319" s="120"/>
      <c r="IL319" s="120"/>
      <c r="IM319" s="120"/>
    </row>
    <row r="320" spans="1:247" ht="38.25" customHeight="1" x14ac:dyDescent="0.25">
      <c r="B320" s="306" t="s">
        <v>111</v>
      </c>
      <c r="C320" s="50" t="s">
        <v>52</v>
      </c>
      <c r="D320" s="90">
        <v>50</v>
      </c>
      <c r="E320" s="90">
        <f>64/150*100</f>
        <v>42.666666666666671</v>
      </c>
      <c r="F320" s="64">
        <f t="shared" si="9"/>
        <v>85.333333333333343</v>
      </c>
      <c r="G320" s="688"/>
      <c r="H320" s="80" t="s">
        <v>1211</v>
      </c>
      <c r="I320" s="718"/>
      <c r="J320" s="718"/>
      <c r="K320" s="718"/>
      <c r="L320" s="718"/>
      <c r="M320" s="718"/>
      <c r="N320" s="718"/>
      <c r="O320" s="718"/>
      <c r="P320" s="718"/>
      <c r="Q320" s="718"/>
      <c r="R320" s="718"/>
      <c r="S320" s="718"/>
      <c r="T320" s="718"/>
      <c r="U320" s="718"/>
      <c r="V320" s="718"/>
      <c r="W320" s="718"/>
      <c r="X320" s="718"/>
      <c r="Y320" s="718"/>
      <c r="Z320" s="718"/>
      <c r="AA320" s="718"/>
      <c r="AB320" s="718"/>
      <c r="AC320" s="718"/>
      <c r="AD320" s="718"/>
      <c r="AE320" s="718"/>
      <c r="AF320" s="718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20"/>
      <c r="AV320" s="120"/>
      <c r="AW320" s="120"/>
      <c r="AX320" s="120"/>
      <c r="AY320" s="120"/>
      <c r="AZ320" s="120"/>
      <c r="BA320" s="120"/>
      <c r="BB320" s="120"/>
      <c r="BC320" s="120"/>
      <c r="BD320" s="120"/>
      <c r="BE320" s="120"/>
      <c r="BF320" s="120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20"/>
      <c r="BS320" s="120"/>
      <c r="BT320" s="120"/>
      <c r="BU320" s="120"/>
      <c r="BV320" s="120"/>
      <c r="BW320" s="120"/>
      <c r="BX320" s="120"/>
      <c r="BY320" s="120"/>
      <c r="BZ320" s="120"/>
      <c r="CA320" s="120"/>
      <c r="CB320" s="120"/>
      <c r="CC320" s="120"/>
      <c r="CD320" s="120"/>
      <c r="CE320" s="120"/>
      <c r="CF320" s="120"/>
      <c r="CG320" s="120"/>
      <c r="CH320" s="120"/>
      <c r="CI320" s="120"/>
      <c r="CJ320" s="120"/>
      <c r="CK320" s="120"/>
      <c r="CL320" s="120"/>
      <c r="CM320" s="120"/>
      <c r="CN320" s="120"/>
      <c r="CO320" s="120"/>
      <c r="CP320" s="120"/>
      <c r="CQ320" s="120"/>
      <c r="CR320" s="120"/>
      <c r="CS320" s="120"/>
      <c r="CT320" s="120"/>
      <c r="CU320" s="120"/>
      <c r="CV320" s="120"/>
      <c r="CW320" s="120"/>
      <c r="CX320" s="120"/>
      <c r="CY320" s="120"/>
      <c r="CZ320" s="120"/>
      <c r="DA320" s="120"/>
      <c r="DB320" s="120"/>
      <c r="DC320" s="120"/>
      <c r="DD320" s="120"/>
      <c r="DE320" s="120"/>
      <c r="DF320" s="120"/>
      <c r="DG320" s="120"/>
      <c r="DH320" s="120"/>
      <c r="DI320" s="120"/>
      <c r="DJ320" s="120"/>
      <c r="DK320" s="120"/>
      <c r="DL320" s="120"/>
      <c r="DM320" s="120"/>
      <c r="DN320" s="120"/>
      <c r="DO320" s="120"/>
      <c r="DP320" s="120"/>
      <c r="DQ320" s="120"/>
      <c r="DR320" s="120"/>
      <c r="DS320" s="120"/>
      <c r="DT320" s="120"/>
      <c r="DU320" s="120"/>
      <c r="DV320" s="120"/>
      <c r="DW320" s="120"/>
      <c r="DX320" s="120"/>
      <c r="DY320" s="120"/>
      <c r="DZ320" s="120"/>
      <c r="EA320" s="120"/>
      <c r="EB320" s="120"/>
      <c r="EC320" s="120"/>
      <c r="ED320" s="120"/>
      <c r="EE320" s="120"/>
      <c r="EF320" s="120"/>
      <c r="EG320" s="120"/>
      <c r="EH320" s="120"/>
      <c r="EI320" s="120"/>
      <c r="EJ320" s="120"/>
      <c r="EK320" s="120"/>
      <c r="EL320" s="120"/>
      <c r="EM320" s="120"/>
      <c r="EN320" s="120"/>
      <c r="EO320" s="120"/>
      <c r="EP320" s="120"/>
      <c r="EQ320" s="120"/>
      <c r="ER320" s="120"/>
      <c r="ES320" s="120"/>
      <c r="ET320" s="120"/>
      <c r="EU320" s="120"/>
      <c r="EV320" s="120"/>
      <c r="EW320" s="120"/>
      <c r="EX320" s="120"/>
      <c r="EY320" s="120"/>
      <c r="EZ320" s="120"/>
      <c r="FA320" s="120"/>
      <c r="FB320" s="120"/>
      <c r="FC320" s="120"/>
      <c r="FD320" s="120"/>
      <c r="FE320" s="120"/>
      <c r="FF320" s="120"/>
      <c r="FG320" s="120"/>
      <c r="FH320" s="120"/>
      <c r="FI320" s="120"/>
      <c r="FJ320" s="120"/>
      <c r="FK320" s="120"/>
      <c r="FL320" s="120"/>
      <c r="FM320" s="120"/>
      <c r="FN320" s="120"/>
      <c r="FO320" s="120"/>
      <c r="FP320" s="120"/>
      <c r="FQ320" s="120"/>
      <c r="FR320" s="120"/>
      <c r="FS320" s="120"/>
      <c r="FT320" s="120"/>
      <c r="FU320" s="120"/>
      <c r="FV320" s="120"/>
      <c r="FW320" s="120"/>
      <c r="FX320" s="120"/>
      <c r="FY320" s="120"/>
      <c r="FZ320" s="120"/>
      <c r="GA320" s="120"/>
      <c r="GB320" s="120"/>
      <c r="GC320" s="120"/>
      <c r="GD320" s="120"/>
      <c r="GE320" s="120"/>
      <c r="GF320" s="120"/>
      <c r="GG320" s="120"/>
      <c r="GH320" s="120"/>
      <c r="GI320" s="120"/>
      <c r="GJ320" s="120"/>
      <c r="GK320" s="120"/>
      <c r="GL320" s="120"/>
      <c r="GM320" s="120"/>
      <c r="GN320" s="120"/>
      <c r="GO320" s="120"/>
      <c r="GP320" s="120"/>
      <c r="GQ320" s="120"/>
      <c r="GR320" s="120"/>
      <c r="GS320" s="120"/>
      <c r="GT320" s="120"/>
      <c r="GU320" s="120"/>
      <c r="GV320" s="120"/>
      <c r="GW320" s="120"/>
      <c r="GX320" s="120"/>
      <c r="GY320" s="120"/>
      <c r="GZ320" s="120"/>
      <c r="HA320" s="120"/>
      <c r="HB320" s="120"/>
      <c r="HC320" s="120"/>
      <c r="HD320" s="120"/>
      <c r="HE320" s="120"/>
      <c r="HF320" s="120"/>
      <c r="HG320" s="120"/>
      <c r="HH320" s="120"/>
      <c r="HI320" s="120"/>
      <c r="HJ320" s="120"/>
      <c r="HK320" s="120"/>
      <c r="HL320" s="120"/>
      <c r="HM320" s="120"/>
      <c r="HN320" s="120"/>
      <c r="HO320" s="120"/>
      <c r="HP320" s="120"/>
      <c r="HQ320" s="120"/>
      <c r="HR320" s="120"/>
      <c r="HS320" s="120"/>
      <c r="HT320" s="120"/>
      <c r="HU320" s="120"/>
      <c r="HV320" s="120"/>
      <c r="HW320" s="120"/>
      <c r="HX320" s="120"/>
      <c r="HY320" s="120"/>
      <c r="HZ320" s="120"/>
      <c r="IA320" s="120"/>
      <c r="IB320" s="120"/>
      <c r="IC320" s="120"/>
      <c r="ID320" s="120"/>
      <c r="IE320" s="120"/>
      <c r="IF320" s="120"/>
      <c r="IG320" s="120"/>
      <c r="IH320" s="120"/>
      <c r="II320" s="120"/>
      <c r="IJ320" s="120"/>
      <c r="IK320" s="120"/>
      <c r="IL320" s="120"/>
      <c r="IM320" s="120"/>
    </row>
    <row r="321" spans="2:247" ht="101.25" customHeight="1" x14ac:dyDescent="0.25">
      <c r="B321" s="306" t="s">
        <v>112</v>
      </c>
      <c r="C321" s="50" t="s">
        <v>52</v>
      </c>
      <c r="D321" s="90">
        <v>9</v>
      </c>
      <c r="E321" s="90">
        <f>(16+72)/(175+150)*100</f>
        <v>27.076923076923077</v>
      </c>
      <c r="F321" s="64" t="str">
        <f t="shared" si="9"/>
        <v>100</v>
      </c>
      <c r="G321" s="688"/>
      <c r="H321" s="80" t="s">
        <v>1212</v>
      </c>
      <c r="I321" s="718"/>
      <c r="J321" s="718"/>
      <c r="K321" s="718"/>
      <c r="L321" s="718"/>
      <c r="M321" s="718"/>
      <c r="N321" s="718"/>
      <c r="O321" s="718"/>
      <c r="P321" s="718"/>
      <c r="Q321" s="718"/>
      <c r="R321" s="718"/>
      <c r="S321" s="718"/>
      <c r="T321" s="718"/>
      <c r="U321" s="718"/>
      <c r="V321" s="718"/>
      <c r="W321" s="718"/>
      <c r="X321" s="718"/>
      <c r="Y321" s="718"/>
      <c r="Z321" s="718"/>
      <c r="AA321" s="718"/>
      <c r="AB321" s="718"/>
      <c r="AC321" s="718"/>
      <c r="AD321" s="718"/>
      <c r="AE321" s="718"/>
      <c r="AF321" s="718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20"/>
      <c r="AV321" s="120"/>
      <c r="AW321" s="120"/>
      <c r="AX321" s="120"/>
      <c r="AY321" s="120"/>
      <c r="AZ321" s="120"/>
      <c r="BA321" s="120"/>
      <c r="BB321" s="120"/>
      <c r="BC321" s="120"/>
      <c r="BD321" s="120"/>
      <c r="BE321" s="120"/>
      <c r="BF321" s="120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20"/>
      <c r="BS321" s="120"/>
      <c r="BT321" s="120"/>
      <c r="BU321" s="120"/>
      <c r="BV321" s="120"/>
      <c r="BW321" s="120"/>
      <c r="BX321" s="120"/>
      <c r="BY321" s="120"/>
      <c r="BZ321" s="120"/>
      <c r="CA321" s="120"/>
      <c r="CB321" s="120"/>
      <c r="CC321" s="120"/>
      <c r="CD321" s="120"/>
      <c r="CE321" s="120"/>
      <c r="CF321" s="120"/>
      <c r="CG321" s="120"/>
      <c r="CH321" s="120"/>
      <c r="CI321" s="120"/>
      <c r="CJ321" s="120"/>
      <c r="CK321" s="120"/>
      <c r="CL321" s="120"/>
      <c r="CM321" s="120"/>
      <c r="CN321" s="120"/>
      <c r="CO321" s="120"/>
      <c r="CP321" s="120"/>
      <c r="CQ321" s="120"/>
      <c r="CR321" s="120"/>
      <c r="CS321" s="120"/>
      <c r="CT321" s="120"/>
      <c r="CU321" s="120"/>
      <c r="CV321" s="120"/>
      <c r="CW321" s="120"/>
      <c r="CX321" s="120"/>
      <c r="CY321" s="120"/>
      <c r="CZ321" s="120"/>
      <c r="DA321" s="120"/>
      <c r="DB321" s="120"/>
      <c r="DC321" s="120"/>
      <c r="DD321" s="120"/>
      <c r="DE321" s="120"/>
      <c r="DF321" s="120"/>
      <c r="DG321" s="120"/>
      <c r="DH321" s="120"/>
      <c r="DI321" s="120"/>
      <c r="DJ321" s="120"/>
      <c r="DK321" s="120"/>
      <c r="DL321" s="120"/>
      <c r="DM321" s="120"/>
      <c r="DN321" s="120"/>
      <c r="DO321" s="120"/>
      <c r="DP321" s="120"/>
      <c r="DQ321" s="120"/>
      <c r="DR321" s="120"/>
      <c r="DS321" s="120"/>
      <c r="DT321" s="120"/>
      <c r="DU321" s="120"/>
      <c r="DV321" s="120"/>
      <c r="DW321" s="120"/>
      <c r="DX321" s="120"/>
      <c r="DY321" s="120"/>
      <c r="DZ321" s="120"/>
      <c r="EA321" s="120"/>
      <c r="EB321" s="120"/>
      <c r="EC321" s="120"/>
      <c r="ED321" s="120"/>
      <c r="EE321" s="120"/>
      <c r="EF321" s="120"/>
      <c r="EG321" s="120"/>
      <c r="EH321" s="120"/>
      <c r="EI321" s="120"/>
      <c r="EJ321" s="120"/>
      <c r="EK321" s="120"/>
      <c r="EL321" s="120"/>
      <c r="EM321" s="120"/>
      <c r="EN321" s="120"/>
      <c r="EO321" s="120"/>
      <c r="EP321" s="120"/>
      <c r="EQ321" s="120"/>
      <c r="ER321" s="120"/>
      <c r="ES321" s="120"/>
      <c r="ET321" s="120"/>
      <c r="EU321" s="120"/>
      <c r="EV321" s="120"/>
      <c r="EW321" s="120"/>
      <c r="EX321" s="120"/>
      <c r="EY321" s="120"/>
      <c r="EZ321" s="120"/>
      <c r="FA321" s="120"/>
      <c r="FB321" s="120"/>
      <c r="FC321" s="120"/>
      <c r="FD321" s="120"/>
      <c r="FE321" s="120"/>
      <c r="FF321" s="120"/>
      <c r="FG321" s="120"/>
      <c r="FH321" s="120"/>
      <c r="FI321" s="120"/>
      <c r="FJ321" s="120"/>
      <c r="FK321" s="120"/>
      <c r="FL321" s="120"/>
      <c r="FM321" s="120"/>
      <c r="FN321" s="120"/>
      <c r="FO321" s="120"/>
      <c r="FP321" s="120"/>
      <c r="FQ321" s="120"/>
      <c r="FR321" s="120"/>
      <c r="FS321" s="120"/>
      <c r="FT321" s="120"/>
      <c r="FU321" s="120"/>
      <c r="FV321" s="120"/>
      <c r="FW321" s="120"/>
      <c r="FX321" s="120"/>
      <c r="FY321" s="120"/>
      <c r="FZ321" s="120"/>
      <c r="GA321" s="120"/>
      <c r="GB321" s="120"/>
      <c r="GC321" s="120"/>
      <c r="GD321" s="120"/>
      <c r="GE321" s="120"/>
      <c r="GF321" s="120"/>
      <c r="GG321" s="120"/>
      <c r="GH321" s="120"/>
      <c r="GI321" s="120"/>
      <c r="GJ321" s="120"/>
      <c r="GK321" s="120"/>
      <c r="GL321" s="120"/>
      <c r="GM321" s="120"/>
      <c r="GN321" s="120"/>
      <c r="GO321" s="120"/>
      <c r="GP321" s="120"/>
      <c r="GQ321" s="120"/>
      <c r="GR321" s="120"/>
      <c r="GS321" s="120"/>
      <c r="GT321" s="120"/>
      <c r="GU321" s="120"/>
      <c r="GV321" s="120"/>
      <c r="GW321" s="120"/>
      <c r="GX321" s="120"/>
      <c r="GY321" s="120"/>
      <c r="GZ321" s="120"/>
      <c r="HA321" s="120"/>
      <c r="HB321" s="120"/>
      <c r="HC321" s="120"/>
      <c r="HD321" s="120"/>
      <c r="HE321" s="120"/>
      <c r="HF321" s="120"/>
      <c r="HG321" s="120"/>
      <c r="HH321" s="120"/>
      <c r="HI321" s="120"/>
      <c r="HJ321" s="120"/>
      <c r="HK321" s="120"/>
      <c r="HL321" s="120"/>
      <c r="HM321" s="120"/>
      <c r="HN321" s="120"/>
      <c r="HO321" s="120"/>
      <c r="HP321" s="120"/>
      <c r="HQ321" s="120"/>
      <c r="HR321" s="120"/>
      <c r="HS321" s="120"/>
      <c r="HT321" s="120"/>
      <c r="HU321" s="120"/>
      <c r="HV321" s="120"/>
      <c r="HW321" s="120"/>
      <c r="HX321" s="120"/>
      <c r="HY321" s="120"/>
      <c r="HZ321" s="120"/>
      <c r="IA321" s="120"/>
      <c r="IB321" s="120"/>
      <c r="IC321" s="120"/>
      <c r="ID321" s="120"/>
      <c r="IE321" s="120"/>
      <c r="IF321" s="120"/>
      <c r="IG321" s="120"/>
      <c r="IH321" s="120"/>
      <c r="II321" s="120"/>
      <c r="IJ321" s="120"/>
      <c r="IK321" s="120"/>
      <c r="IL321" s="120"/>
      <c r="IM321" s="120"/>
    </row>
    <row r="322" spans="2:247" ht="63" x14ac:dyDescent="0.25">
      <c r="B322" s="306" t="s">
        <v>113</v>
      </c>
      <c r="C322" s="50" t="s">
        <v>52</v>
      </c>
      <c r="D322" s="90">
        <v>30</v>
      </c>
      <c r="E322" s="90">
        <f>52/150*100</f>
        <v>34.666666666666671</v>
      </c>
      <c r="F322" s="64" t="str">
        <f t="shared" si="9"/>
        <v>100</v>
      </c>
      <c r="G322" s="688"/>
      <c r="H322" s="80" t="s">
        <v>1213</v>
      </c>
      <c r="I322" s="718"/>
      <c r="J322" s="718"/>
      <c r="K322" s="718"/>
      <c r="L322" s="718"/>
      <c r="M322" s="718"/>
      <c r="N322" s="718"/>
      <c r="O322" s="718"/>
      <c r="P322" s="718"/>
      <c r="Q322" s="718"/>
      <c r="R322" s="718"/>
      <c r="S322" s="718"/>
      <c r="T322" s="718"/>
      <c r="U322" s="718"/>
      <c r="V322" s="718"/>
      <c r="W322" s="718"/>
      <c r="X322" s="718"/>
      <c r="Y322" s="718"/>
      <c r="Z322" s="718"/>
      <c r="AA322" s="718"/>
      <c r="AB322" s="718"/>
      <c r="AC322" s="718"/>
      <c r="AD322" s="718"/>
      <c r="AE322" s="718"/>
      <c r="AF322" s="718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20"/>
      <c r="AV322" s="120"/>
      <c r="AW322" s="120"/>
      <c r="AX322" s="120"/>
      <c r="AY322" s="120"/>
      <c r="AZ322" s="120"/>
      <c r="BA322" s="120"/>
      <c r="BB322" s="120"/>
      <c r="BC322" s="120"/>
      <c r="BD322" s="120"/>
      <c r="BE322" s="120"/>
      <c r="BF322" s="120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20"/>
      <c r="BS322" s="120"/>
      <c r="BT322" s="120"/>
      <c r="BU322" s="120"/>
      <c r="BV322" s="120"/>
      <c r="BW322" s="120"/>
      <c r="BX322" s="120"/>
      <c r="BY322" s="120"/>
      <c r="BZ322" s="120"/>
      <c r="CA322" s="120"/>
      <c r="CB322" s="120"/>
      <c r="CC322" s="120"/>
      <c r="CD322" s="120"/>
      <c r="CE322" s="120"/>
      <c r="CF322" s="120"/>
      <c r="CG322" s="120"/>
      <c r="CH322" s="120"/>
      <c r="CI322" s="120"/>
      <c r="CJ322" s="120"/>
      <c r="CK322" s="120"/>
      <c r="CL322" s="120"/>
      <c r="CM322" s="120"/>
      <c r="CN322" s="120"/>
      <c r="CO322" s="120"/>
      <c r="CP322" s="120"/>
      <c r="CQ322" s="120"/>
      <c r="CR322" s="120"/>
      <c r="CS322" s="120"/>
      <c r="CT322" s="120"/>
      <c r="CU322" s="120"/>
      <c r="CV322" s="120"/>
      <c r="CW322" s="120"/>
      <c r="CX322" s="120"/>
      <c r="CY322" s="120"/>
      <c r="CZ322" s="120"/>
      <c r="DA322" s="120"/>
      <c r="DB322" s="120"/>
      <c r="DC322" s="120"/>
      <c r="DD322" s="120"/>
      <c r="DE322" s="120"/>
      <c r="DF322" s="120"/>
      <c r="DG322" s="120"/>
      <c r="DH322" s="120"/>
      <c r="DI322" s="120"/>
      <c r="DJ322" s="120"/>
      <c r="DK322" s="120"/>
      <c r="DL322" s="120"/>
      <c r="DM322" s="120"/>
      <c r="DN322" s="120"/>
      <c r="DO322" s="120"/>
      <c r="DP322" s="120"/>
      <c r="DQ322" s="120"/>
      <c r="DR322" s="120"/>
      <c r="DS322" s="120"/>
      <c r="DT322" s="120"/>
      <c r="DU322" s="120"/>
      <c r="DV322" s="120"/>
      <c r="DW322" s="120"/>
      <c r="DX322" s="120"/>
      <c r="DY322" s="120"/>
      <c r="DZ322" s="120"/>
      <c r="EA322" s="120"/>
      <c r="EB322" s="120"/>
      <c r="EC322" s="120"/>
      <c r="ED322" s="120"/>
      <c r="EE322" s="120"/>
      <c r="EF322" s="120"/>
      <c r="EG322" s="120"/>
      <c r="EH322" s="120"/>
      <c r="EI322" s="120"/>
      <c r="EJ322" s="120"/>
      <c r="EK322" s="120"/>
      <c r="EL322" s="120"/>
      <c r="EM322" s="120"/>
      <c r="EN322" s="120"/>
      <c r="EO322" s="120"/>
      <c r="EP322" s="120"/>
      <c r="EQ322" s="120"/>
      <c r="ER322" s="120"/>
      <c r="ES322" s="120"/>
      <c r="ET322" s="120"/>
      <c r="EU322" s="120"/>
      <c r="EV322" s="120"/>
      <c r="EW322" s="120"/>
      <c r="EX322" s="120"/>
      <c r="EY322" s="120"/>
      <c r="EZ322" s="120"/>
      <c r="FA322" s="120"/>
      <c r="FB322" s="120"/>
      <c r="FC322" s="120"/>
      <c r="FD322" s="120"/>
      <c r="FE322" s="120"/>
      <c r="FF322" s="120"/>
      <c r="FG322" s="120"/>
      <c r="FH322" s="120"/>
      <c r="FI322" s="120"/>
      <c r="FJ322" s="120"/>
      <c r="FK322" s="120"/>
      <c r="FL322" s="120"/>
      <c r="FM322" s="120"/>
      <c r="FN322" s="120"/>
      <c r="FO322" s="120"/>
      <c r="FP322" s="120"/>
      <c r="FQ322" s="120"/>
      <c r="FR322" s="120"/>
      <c r="FS322" s="120"/>
      <c r="FT322" s="120"/>
      <c r="FU322" s="120"/>
      <c r="FV322" s="120"/>
      <c r="FW322" s="120"/>
      <c r="FX322" s="120"/>
      <c r="FY322" s="120"/>
      <c r="FZ322" s="120"/>
      <c r="GA322" s="120"/>
      <c r="GB322" s="120"/>
      <c r="GC322" s="120"/>
      <c r="GD322" s="120"/>
      <c r="GE322" s="120"/>
      <c r="GF322" s="120"/>
      <c r="GG322" s="120"/>
      <c r="GH322" s="120"/>
      <c r="GI322" s="120"/>
      <c r="GJ322" s="120"/>
      <c r="GK322" s="120"/>
      <c r="GL322" s="120"/>
      <c r="GM322" s="120"/>
      <c r="GN322" s="120"/>
      <c r="GO322" s="120"/>
      <c r="GP322" s="120"/>
      <c r="GQ322" s="120"/>
      <c r="GR322" s="120"/>
      <c r="GS322" s="120"/>
      <c r="GT322" s="120"/>
      <c r="GU322" s="120"/>
      <c r="GV322" s="120"/>
      <c r="GW322" s="120"/>
      <c r="GX322" s="120"/>
      <c r="GY322" s="120"/>
      <c r="GZ322" s="120"/>
      <c r="HA322" s="120"/>
      <c r="HB322" s="120"/>
      <c r="HC322" s="120"/>
      <c r="HD322" s="120"/>
      <c r="HE322" s="120"/>
      <c r="HF322" s="120"/>
      <c r="HG322" s="120"/>
      <c r="HH322" s="120"/>
      <c r="HI322" s="120"/>
      <c r="HJ322" s="120"/>
      <c r="HK322" s="120"/>
      <c r="HL322" s="120"/>
      <c r="HM322" s="120"/>
      <c r="HN322" s="120"/>
      <c r="HO322" s="120"/>
      <c r="HP322" s="120"/>
      <c r="HQ322" s="120"/>
      <c r="HR322" s="120"/>
      <c r="HS322" s="120"/>
      <c r="HT322" s="120"/>
      <c r="HU322" s="120"/>
      <c r="HV322" s="120"/>
      <c r="HW322" s="120"/>
      <c r="HX322" s="120"/>
      <c r="HY322" s="120"/>
      <c r="HZ322" s="120"/>
      <c r="IA322" s="120"/>
      <c r="IB322" s="120"/>
      <c r="IC322" s="120"/>
      <c r="ID322" s="120"/>
      <c r="IE322" s="120"/>
      <c r="IF322" s="120"/>
      <c r="IG322" s="120"/>
      <c r="IH322" s="120"/>
      <c r="II322" s="120"/>
      <c r="IJ322" s="120"/>
      <c r="IK322" s="120"/>
      <c r="IL322" s="120"/>
      <c r="IM322" s="120"/>
    </row>
    <row r="323" spans="2:247" ht="31.5" customHeight="1" x14ac:dyDescent="0.25">
      <c r="B323" s="306" t="s">
        <v>114</v>
      </c>
      <c r="C323" s="50" t="s">
        <v>66</v>
      </c>
      <c r="D323" s="111">
        <v>20</v>
      </c>
      <c r="E323" s="111">
        <v>28</v>
      </c>
      <c r="F323" s="64" t="str">
        <f t="shared" si="9"/>
        <v>100</v>
      </c>
      <c r="G323" s="688"/>
      <c r="H323" s="80" t="s">
        <v>1214</v>
      </c>
      <c r="I323" s="718"/>
      <c r="J323" s="718"/>
      <c r="K323" s="718"/>
      <c r="L323" s="718"/>
      <c r="M323" s="718"/>
      <c r="N323" s="718"/>
      <c r="O323" s="718"/>
      <c r="P323" s="718"/>
      <c r="Q323" s="718"/>
      <c r="R323" s="718"/>
      <c r="S323" s="718"/>
      <c r="T323" s="718"/>
      <c r="U323" s="718"/>
      <c r="V323" s="718"/>
      <c r="W323" s="718"/>
      <c r="X323" s="718"/>
      <c r="Y323" s="718"/>
      <c r="Z323" s="718"/>
      <c r="AA323" s="718"/>
      <c r="AB323" s="718"/>
      <c r="AC323" s="718"/>
      <c r="AD323" s="718"/>
      <c r="AE323" s="718"/>
      <c r="AF323" s="718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20"/>
      <c r="AV323" s="120"/>
      <c r="AW323" s="120"/>
      <c r="AX323" s="120"/>
      <c r="AY323" s="120"/>
      <c r="AZ323" s="120"/>
      <c r="BA323" s="120"/>
      <c r="BB323" s="120"/>
      <c r="BC323" s="120"/>
      <c r="BD323" s="120"/>
      <c r="BE323" s="120"/>
      <c r="BF323" s="120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20"/>
      <c r="BS323" s="120"/>
      <c r="BT323" s="120"/>
      <c r="BU323" s="120"/>
      <c r="BV323" s="120"/>
      <c r="BW323" s="120"/>
      <c r="BX323" s="120"/>
      <c r="BY323" s="120"/>
      <c r="BZ323" s="120"/>
      <c r="CA323" s="120"/>
      <c r="CB323" s="120"/>
      <c r="CC323" s="120"/>
      <c r="CD323" s="120"/>
      <c r="CE323" s="120"/>
      <c r="CF323" s="120"/>
      <c r="CG323" s="120"/>
      <c r="CH323" s="120"/>
      <c r="CI323" s="120"/>
      <c r="CJ323" s="120"/>
      <c r="CK323" s="120"/>
      <c r="CL323" s="120"/>
      <c r="CM323" s="120"/>
      <c r="CN323" s="120"/>
      <c r="CO323" s="120"/>
      <c r="CP323" s="120"/>
      <c r="CQ323" s="120"/>
      <c r="CR323" s="120"/>
      <c r="CS323" s="120"/>
      <c r="CT323" s="120"/>
      <c r="CU323" s="120"/>
      <c r="CV323" s="120"/>
      <c r="CW323" s="120"/>
      <c r="CX323" s="120"/>
      <c r="CY323" s="120"/>
      <c r="CZ323" s="120"/>
      <c r="DA323" s="120"/>
      <c r="DB323" s="120"/>
      <c r="DC323" s="120"/>
      <c r="DD323" s="120"/>
      <c r="DE323" s="120"/>
      <c r="DF323" s="120"/>
      <c r="DG323" s="120"/>
      <c r="DH323" s="120"/>
      <c r="DI323" s="120"/>
      <c r="DJ323" s="120"/>
      <c r="DK323" s="120"/>
      <c r="DL323" s="120"/>
      <c r="DM323" s="120"/>
      <c r="DN323" s="120"/>
      <c r="DO323" s="120"/>
      <c r="DP323" s="120"/>
      <c r="DQ323" s="120"/>
      <c r="DR323" s="120"/>
      <c r="DS323" s="120"/>
      <c r="DT323" s="120"/>
      <c r="DU323" s="120"/>
      <c r="DV323" s="120"/>
      <c r="DW323" s="120"/>
      <c r="DX323" s="120"/>
      <c r="DY323" s="120"/>
      <c r="DZ323" s="120"/>
      <c r="EA323" s="120"/>
      <c r="EB323" s="120"/>
      <c r="EC323" s="120"/>
      <c r="ED323" s="120"/>
      <c r="EE323" s="120"/>
      <c r="EF323" s="120"/>
      <c r="EG323" s="120"/>
      <c r="EH323" s="120"/>
      <c r="EI323" s="120"/>
      <c r="EJ323" s="120"/>
      <c r="EK323" s="120"/>
      <c r="EL323" s="120"/>
      <c r="EM323" s="120"/>
      <c r="EN323" s="120"/>
      <c r="EO323" s="120"/>
      <c r="EP323" s="120"/>
      <c r="EQ323" s="120"/>
      <c r="ER323" s="120"/>
      <c r="ES323" s="120"/>
      <c r="ET323" s="120"/>
      <c r="EU323" s="120"/>
      <c r="EV323" s="120"/>
      <c r="EW323" s="120"/>
      <c r="EX323" s="120"/>
      <c r="EY323" s="120"/>
      <c r="EZ323" s="120"/>
      <c r="FA323" s="120"/>
      <c r="FB323" s="120"/>
      <c r="FC323" s="120"/>
      <c r="FD323" s="120"/>
      <c r="FE323" s="120"/>
      <c r="FF323" s="120"/>
      <c r="FG323" s="120"/>
      <c r="FH323" s="120"/>
      <c r="FI323" s="120"/>
      <c r="FJ323" s="120"/>
      <c r="FK323" s="120"/>
      <c r="FL323" s="120"/>
      <c r="FM323" s="120"/>
      <c r="FN323" s="120"/>
      <c r="FO323" s="120"/>
      <c r="FP323" s="120"/>
      <c r="FQ323" s="120"/>
      <c r="FR323" s="120"/>
      <c r="FS323" s="120"/>
      <c r="FT323" s="120"/>
      <c r="FU323" s="120"/>
      <c r="FV323" s="120"/>
      <c r="FW323" s="120"/>
      <c r="FX323" s="120"/>
      <c r="FY323" s="120"/>
      <c r="FZ323" s="120"/>
      <c r="GA323" s="120"/>
      <c r="GB323" s="120"/>
      <c r="GC323" s="120"/>
      <c r="GD323" s="120"/>
      <c r="GE323" s="120"/>
      <c r="GF323" s="120"/>
      <c r="GG323" s="120"/>
      <c r="GH323" s="120"/>
      <c r="GI323" s="120"/>
      <c r="GJ323" s="120"/>
      <c r="GK323" s="120"/>
      <c r="GL323" s="120"/>
      <c r="GM323" s="120"/>
      <c r="GN323" s="120"/>
      <c r="GO323" s="120"/>
      <c r="GP323" s="120"/>
      <c r="GQ323" s="120"/>
      <c r="GR323" s="120"/>
      <c r="GS323" s="120"/>
      <c r="GT323" s="120"/>
      <c r="GU323" s="120"/>
      <c r="GV323" s="120"/>
      <c r="GW323" s="120"/>
      <c r="GX323" s="120"/>
      <c r="GY323" s="120"/>
      <c r="GZ323" s="120"/>
      <c r="HA323" s="120"/>
      <c r="HB323" s="120"/>
      <c r="HC323" s="120"/>
      <c r="HD323" s="120"/>
      <c r="HE323" s="120"/>
      <c r="HF323" s="120"/>
      <c r="HG323" s="120"/>
      <c r="HH323" s="120"/>
      <c r="HI323" s="120"/>
      <c r="HJ323" s="120"/>
      <c r="HK323" s="120"/>
      <c r="HL323" s="120"/>
      <c r="HM323" s="120"/>
      <c r="HN323" s="120"/>
      <c r="HO323" s="120"/>
      <c r="HP323" s="120"/>
      <c r="HQ323" s="120"/>
      <c r="HR323" s="120"/>
      <c r="HS323" s="120"/>
      <c r="HT323" s="120"/>
      <c r="HU323" s="120"/>
      <c r="HV323" s="120"/>
      <c r="HW323" s="120"/>
      <c r="HX323" s="120"/>
      <c r="HY323" s="120"/>
      <c r="HZ323" s="120"/>
      <c r="IA323" s="120"/>
      <c r="IB323" s="120"/>
      <c r="IC323" s="120"/>
      <c r="ID323" s="120"/>
      <c r="IE323" s="120"/>
      <c r="IF323" s="120"/>
      <c r="IG323" s="120"/>
      <c r="IH323" s="120"/>
      <c r="II323" s="120"/>
      <c r="IJ323" s="120"/>
      <c r="IK323" s="120"/>
      <c r="IL323" s="120"/>
      <c r="IM323" s="120"/>
    </row>
    <row r="324" spans="2:247" ht="54.75" customHeight="1" x14ac:dyDescent="0.25">
      <c r="B324" s="306" t="s">
        <v>115</v>
      </c>
      <c r="C324" s="50" t="s">
        <v>66</v>
      </c>
      <c r="D324" s="111">
        <v>5</v>
      </c>
      <c r="E324" s="111">
        <v>2</v>
      </c>
      <c r="F324" s="64">
        <f t="shared" si="9"/>
        <v>40</v>
      </c>
      <c r="G324" s="688"/>
      <c r="H324" s="80" t="s">
        <v>993</v>
      </c>
      <c r="I324" s="718"/>
      <c r="J324" s="718"/>
      <c r="K324" s="718"/>
      <c r="L324" s="718"/>
      <c r="M324" s="718"/>
      <c r="N324" s="718"/>
      <c r="O324" s="718"/>
      <c r="P324" s="718"/>
      <c r="Q324" s="718"/>
      <c r="R324" s="718"/>
      <c r="S324" s="718"/>
      <c r="T324" s="718"/>
      <c r="U324" s="718"/>
      <c r="V324" s="718"/>
      <c r="W324" s="718"/>
      <c r="X324" s="718"/>
      <c r="Y324" s="718"/>
      <c r="Z324" s="718"/>
      <c r="AA324" s="718"/>
      <c r="AB324" s="718"/>
      <c r="AC324" s="718"/>
      <c r="AD324" s="718"/>
      <c r="AE324" s="718"/>
      <c r="AF324" s="718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20"/>
      <c r="AV324" s="120"/>
      <c r="AW324" s="120"/>
      <c r="AX324" s="120"/>
      <c r="AY324" s="120"/>
      <c r="AZ324" s="120"/>
      <c r="BA324" s="120"/>
      <c r="BB324" s="120"/>
      <c r="BC324" s="120"/>
      <c r="BD324" s="120"/>
      <c r="BE324" s="120"/>
      <c r="BF324" s="120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20"/>
      <c r="BS324" s="120"/>
      <c r="BT324" s="120"/>
      <c r="BU324" s="120"/>
      <c r="BV324" s="120"/>
      <c r="BW324" s="120"/>
      <c r="BX324" s="120"/>
      <c r="BY324" s="120"/>
      <c r="BZ324" s="120"/>
      <c r="CA324" s="120"/>
      <c r="CB324" s="120"/>
      <c r="CC324" s="120"/>
      <c r="CD324" s="120"/>
      <c r="CE324" s="120"/>
      <c r="CF324" s="120"/>
      <c r="CG324" s="120"/>
      <c r="CH324" s="120"/>
      <c r="CI324" s="120"/>
      <c r="CJ324" s="120"/>
      <c r="CK324" s="120"/>
      <c r="CL324" s="120"/>
      <c r="CM324" s="120"/>
      <c r="CN324" s="120"/>
      <c r="CO324" s="120"/>
      <c r="CP324" s="120"/>
      <c r="CQ324" s="120"/>
      <c r="CR324" s="120"/>
      <c r="CS324" s="120"/>
      <c r="CT324" s="120"/>
      <c r="CU324" s="120"/>
      <c r="CV324" s="120"/>
      <c r="CW324" s="120"/>
      <c r="CX324" s="120"/>
      <c r="CY324" s="120"/>
      <c r="CZ324" s="120"/>
      <c r="DA324" s="120"/>
      <c r="DB324" s="120"/>
      <c r="DC324" s="120"/>
      <c r="DD324" s="120"/>
      <c r="DE324" s="120"/>
      <c r="DF324" s="120"/>
      <c r="DG324" s="120"/>
      <c r="DH324" s="120"/>
      <c r="DI324" s="120"/>
      <c r="DJ324" s="120"/>
      <c r="DK324" s="120"/>
      <c r="DL324" s="120"/>
      <c r="DM324" s="120"/>
      <c r="DN324" s="120"/>
      <c r="DO324" s="120"/>
      <c r="DP324" s="120"/>
      <c r="DQ324" s="120"/>
      <c r="DR324" s="120"/>
      <c r="DS324" s="120"/>
      <c r="DT324" s="120"/>
      <c r="DU324" s="120"/>
      <c r="DV324" s="120"/>
      <c r="DW324" s="120"/>
      <c r="DX324" s="120"/>
      <c r="DY324" s="120"/>
      <c r="DZ324" s="120"/>
      <c r="EA324" s="120"/>
      <c r="EB324" s="120"/>
      <c r="EC324" s="120"/>
      <c r="ED324" s="120"/>
      <c r="EE324" s="120"/>
      <c r="EF324" s="120"/>
      <c r="EG324" s="120"/>
      <c r="EH324" s="120"/>
      <c r="EI324" s="120"/>
      <c r="EJ324" s="120"/>
      <c r="EK324" s="120"/>
      <c r="EL324" s="120"/>
      <c r="EM324" s="120"/>
      <c r="EN324" s="120"/>
      <c r="EO324" s="120"/>
      <c r="EP324" s="120"/>
      <c r="EQ324" s="120"/>
      <c r="ER324" s="120"/>
      <c r="ES324" s="120"/>
      <c r="ET324" s="120"/>
      <c r="EU324" s="120"/>
      <c r="EV324" s="120"/>
      <c r="EW324" s="120"/>
      <c r="EX324" s="120"/>
      <c r="EY324" s="120"/>
      <c r="EZ324" s="120"/>
      <c r="FA324" s="120"/>
      <c r="FB324" s="120"/>
      <c r="FC324" s="120"/>
      <c r="FD324" s="120"/>
      <c r="FE324" s="120"/>
      <c r="FF324" s="120"/>
      <c r="FG324" s="120"/>
      <c r="FH324" s="120"/>
      <c r="FI324" s="120"/>
      <c r="FJ324" s="120"/>
      <c r="FK324" s="120"/>
      <c r="FL324" s="120"/>
      <c r="FM324" s="120"/>
      <c r="FN324" s="120"/>
      <c r="FO324" s="120"/>
      <c r="FP324" s="120"/>
      <c r="FQ324" s="120"/>
      <c r="FR324" s="120"/>
      <c r="FS324" s="120"/>
      <c r="FT324" s="120"/>
      <c r="FU324" s="120"/>
      <c r="FV324" s="120"/>
      <c r="FW324" s="120"/>
      <c r="FX324" s="120"/>
      <c r="FY324" s="120"/>
      <c r="FZ324" s="120"/>
      <c r="GA324" s="120"/>
      <c r="GB324" s="120"/>
      <c r="GC324" s="120"/>
      <c r="GD324" s="120"/>
      <c r="GE324" s="120"/>
      <c r="GF324" s="120"/>
      <c r="GG324" s="120"/>
      <c r="GH324" s="120"/>
      <c r="GI324" s="120"/>
      <c r="GJ324" s="120"/>
      <c r="GK324" s="120"/>
      <c r="GL324" s="120"/>
      <c r="GM324" s="120"/>
      <c r="GN324" s="120"/>
      <c r="GO324" s="120"/>
      <c r="GP324" s="120"/>
      <c r="GQ324" s="120"/>
      <c r="GR324" s="120"/>
      <c r="GS324" s="120"/>
      <c r="GT324" s="120"/>
      <c r="GU324" s="120"/>
      <c r="GV324" s="120"/>
      <c r="GW324" s="120"/>
      <c r="GX324" s="120"/>
      <c r="GY324" s="120"/>
      <c r="GZ324" s="120"/>
      <c r="HA324" s="120"/>
      <c r="HB324" s="120"/>
      <c r="HC324" s="120"/>
      <c r="HD324" s="120"/>
      <c r="HE324" s="120"/>
      <c r="HF324" s="120"/>
      <c r="HG324" s="120"/>
      <c r="HH324" s="120"/>
      <c r="HI324" s="120"/>
      <c r="HJ324" s="120"/>
      <c r="HK324" s="120"/>
      <c r="HL324" s="120"/>
      <c r="HM324" s="120"/>
      <c r="HN324" s="120"/>
      <c r="HO324" s="120"/>
      <c r="HP324" s="120"/>
      <c r="HQ324" s="120"/>
      <c r="HR324" s="120"/>
      <c r="HS324" s="120"/>
      <c r="HT324" s="120"/>
      <c r="HU324" s="120"/>
      <c r="HV324" s="120"/>
      <c r="HW324" s="120"/>
      <c r="HX324" s="120"/>
      <c r="HY324" s="120"/>
      <c r="HZ324" s="120"/>
      <c r="IA324" s="120"/>
      <c r="IB324" s="120"/>
      <c r="IC324" s="120"/>
      <c r="ID324" s="120"/>
      <c r="IE324" s="120"/>
      <c r="IF324" s="120"/>
      <c r="IG324" s="120"/>
      <c r="IH324" s="120"/>
      <c r="II324" s="120"/>
      <c r="IJ324" s="120"/>
      <c r="IK324" s="120"/>
      <c r="IL324" s="120"/>
      <c r="IM324" s="120"/>
    </row>
    <row r="325" spans="2:247" ht="57" customHeight="1" x14ac:dyDescent="0.25">
      <c r="B325" s="306" t="s">
        <v>116</v>
      </c>
      <c r="C325" s="50" t="s">
        <v>85</v>
      </c>
      <c r="D325" s="111">
        <v>2</v>
      </c>
      <c r="E325" s="111">
        <v>2</v>
      </c>
      <c r="F325" s="64">
        <f t="shared" si="9"/>
        <v>100</v>
      </c>
      <c r="G325" s="688"/>
      <c r="H325" s="80" t="s">
        <v>1215</v>
      </c>
      <c r="I325" s="718"/>
      <c r="J325" s="718"/>
      <c r="K325" s="718"/>
      <c r="L325" s="718"/>
      <c r="M325" s="718"/>
      <c r="N325" s="718"/>
      <c r="O325" s="718"/>
      <c r="P325" s="718"/>
      <c r="Q325" s="718"/>
      <c r="R325" s="718"/>
      <c r="S325" s="718"/>
      <c r="T325" s="718"/>
      <c r="U325" s="718"/>
      <c r="V325" s="718"/>
      <c r="W325" s="718"/>
      <c r="X325" s="718"/>
      <c r="Y325" s="718"/>
      <c r="Z325" s="718"/>
      <c r="AA325" s="718"/>
      <c r="AB325" s="718"/>
      <c r="AC325" s="718"/>
      <c r="AD325" s="718"/>
      <c r="AE325" s="718"/>
      <c r="AF325" s="718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20"/>
      <c r="AV325" s="120"/>
      <c r="AW325" s="120"/>
      <c r="AX325" s="120"/>
      <c r="AY325" s="120"/>
      <c r="AZ325" s="120"/>
      <c r="BA325" s="120"/>
      <c r="BB325" s="120"/>
      <c r="BC325" s="120"/>
      <c r="BD325" s="120"/>
      <c r="BE325" s="120"/>
      <c r="BF325" s="120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20"/>
      <c r="BS325" s="120"/>
      <c r="BT325" s="120"/>
      <c r="BU325" s="120"/>
      <c r="BV325" s="120"/>
      <c r="BW325" s="120"/>
      <c r="BX325" s="120"/>
      <c r="BY325" s="120"/>
      <c r="BZ325" s="120"/>
      <c r="CA325" s="120"/>
      <c r="CB325" s="120"/>
      <c r="CC325" s="120"/>
      <c r="CD325" s="120"/>
      <c r="CE325" s="120"/>
      <c r="CF325" s="120"/>
      <c r="CG325" s="120"/>
      <c r="CH325" s="120"/>
      <c r="CI325" s="120"/>
      <c r="CJ325" s="120"/>
      <c r="CK325" s="120"/>
      <c r="CL325" s="120"/>
      <c r="CM325" s="120"/>
      <c r="CN325" s="120"/>
      <c r="CO325" s="120"/>
      <c r="CP325" s="120"/>
      <c r="CQ325" s="120"/>
      <c r="CR325" s="120"/>
      <c r="CS325" s="120"/>
      <c r="CT325" s="120"/>
      <c r="CU325" s="120"/>
      <c r="CV325" s="120"/>
      <c r="CW325" s="120"/>
      <c r="CX325" s="120"/>
      <c r="CY325" s="120"/>
      <c r="CZ325" s="120"/>
      <c r="DA325" s="120"/>
      <c r="DB325" s="120"/>
      <c r="DC325" s="120"/>
      <c r="DD325" s="120"/>
      <c r="DE325" s="120"/>
      <c r="DF325" s="120"/>
      <c r="DG325" s="120"/>
      <c r="DH325" s="120"/>
      <c r="DI325" s="120"/>
      <c r="DJ325" s="120"/>
      <c r="DK325" s="120"/>
      <c r="DL325" s="120"/>
      <c r="DM325" s="120"/>
      <c r="DN325" s="120"/>
      <c r="DO325" s="120"/>
      <c r="DP325" s="120"/>
      <c r="DQ325" s="120"/>
      <c r="DR325" s="120"/>
      <c r="DS325" s="120"/>
      <c r="DT325" s="120"/>
      <c r="DU325" s="120"/>
      <c r="DV325" s="120"/>
      <c r="DW325" s="120"/>
      <c r="DX325" s="120"/>
      <c r="DY325" s="120"/>
      <c r="DZ325" s="120"/>
      <c r="EA325" s="120"/>
      <c r="EB325" s="120"/>
      <c r="EC325" s="120"/>
      <c r="ED325" s="120"/>
      <c r="EE325" s="120"/>
      <c r="EF325" s="120"/>
      <c r="EG325" s="120"/>
      <c r="EH325" s="120"/>
      <c r="EI325" s="120"/>
      <c r="EJ325" s="120"/>
      <c r="EK325" s="120"/>
      <c r="EL325" s="120"/>
      <c r="EM325" s="120"/>
      <c r="EN325" s="120"/>
      <c r="EO325" s="120"/>
      <c r="EP325" s="120"/>
      <c r="EQ325" s="120"/>
      <c r="ER325" s="120"/>
      <c r="ES325" s="120"/>
      <c r="ET325" s="120"/>
      <c r="EU325" s="120"/>
      <c r="EV325" s="120"/>
      <c r="EW325" s="120"/>
      <c r="EX325" s="120"/>
      <c r="EY325" s="120"/>
      <c r="EZ325" s="120"/>
      <c r="FA325" s="120"/>
      <c r="FB325" s="120"/>
      <c r="FC325" s="120"/>
      <c r="FD325" s="120"/>
      <c r="FE325" s="120"/>
      <c r="FF325" s="120"/>
      <c r="FG325" s="120"/>
      <c r="FH325" s="120"/>
      <c r="FI325" s="120"/>
      <c r="FJ325" s="120"/>
      <c r="FK325" s="120"/>
      <c r="FL325" s="120"/>
      <c r="FM325" s="120"/>
      <c r="FN325" s="120"/>
      <c r="FO325" s="120"/>
      <c r="FP325" s="120"/>
      <c r="FQ325" s="120"/>
      <c r="FR325" s="120"/>
      <c r="FS325" s="120"/>
      <c r="FT325" s="120"/>
      <c r="FU325" s="120"/>
      <c r="FV325" s="120"/>
      <c r="FW325" s="120"/>
      <c r="FX325" s="120"/>
      <c r="FY325" s="120"/>
      <c r="FZ325" s="120"/>
      <c r="GA325" s="120"/>
      <c r="GB325" s="120"/>
      <c r="GC325" s="120"/>
      <c r="GD325" s="120"/>
      <c r="GE325" s="120"/>
      <c r="GF325" s="120"/>
      <c r="GG325" s="120"/>
      <c r="GH325" s="120"/>
      <c r="GI325" s="120"/>
      <c r="GJ325" s="120"/>
      <c r="GK325" s="120"/>
      <c r="GL325" s="120"/>
      <c r="GM325" s="120"/>
      <c r="GN325" s="120"/>
      <c r="GO325" s="120"/>
      <c r="GP325" s="120"/>
      <c r="GQ325" s="120"/>
      <c r="GR325" s="120"/>
      <c r="GS325" s="120"/>
      <c r="GT325" s="120"/>
      <c r="GU325" s="120"/>
      <c r="GV325" s="120"/>
      <c r="GW325" s="120"/>
      <c r="GX325" s="120"/>
      <c r="GY325" s="120"/>
      <c r="GZ325" s="120"/>
      <c r="HA325" s="120"/>
      <c r="HB325" s="120"/>
      <c r="HC325" s="120"/>
      <c r="HD325" s="120"/>
      <c r="HE325" s="120"/>
      <c r="HF325" s="120"/>
      <c r="HG325" s="120"/>
      <c r="HH325" s="120"/>
      <c r="HI325" s="120"/>
      <c r="HJ325" s="120"/>
      <c r="HK325" s="120"/>
      <c r="HL325" s="120"/>
      <c r="HM325" s="120"/>
      <c r="HN325" s="120"/>
      <c r="HO325" s="120"/>
      <c r="HP325" s="120"/>
      <c r="HQ325" s="120"/>
      <c r="HR325" s="120"/>
      <c r="HS325" s="120"/>
      <c r="HT325" s="120"/>
      <c r="HU325" s="120"/>
      <c r="HV325" s="120"/>
      <c r="HW325" s="120"/>
      <c r="HX325" s="120"/>
      <c r="HY325" s="120"/>
      <c r="HZ325" s="120"/>
      <c r="IA325" s="120"/>
      <c r="IB325" s="120"/>
      <c r="IC325" s="120"/>
      <c r="ID325" s="120"/>
      <c r="IE325" s="120"/>
      <c r="IF325" s="120"/>
      <c r="IG325" s="120"/>
      <c r="IH325" s="120"/>
      <c r="II325" s="120"/>
      <c r="IJ325" s="120"/>
      <c r="IK325" s="120"/>
      <c r="IL325" s="120"/>
      <c r="IM325" s="120"/>
    </row>
    <row r="326" spans="2:247" ht="47.25" x14ac:dyDescent="0.25">
      <c r="B326" s="306" t="s">
        <v>117</v>
      </c>
      <c r="C326" s="50" t="s">
        <v>85</v>
      </c>
      <c r="D326" s="111">
        <v>11</v>
      </c>
      <c r="E326" s="111">
        <v>8</v>
      </c>
      <c r="F326" s="64">
        <f t="shared" si="9"/>
        <v>72.727272727272734</v>
      </c>
      <c r="G326" s="688"/>
      <c r="H326" s="80" t="s">
        <v>994</v>
      </c>
      <c r="I326" s="718"/>
      <c r="J326" s="718"/>
      <c r="K326" s="718"/>
      <c r="L326" s="718"/>
      <c r="M326" s="718"/>
      <c r="N326" s="718"/>
      <c r="O326" s="718"/>
      <c r="P326" s="718"/>
      <c r="Q326" s="718"/>
      <c r="R326" s="718"/>
      <c r="S326" s="718"/>
      <c r="T326" s="718"/>
      <c r="U326" s="718"/>
      <c r="V326" s="718"/>
      <c r="W326" s="718"/>
      <c r="X326" s="718"/>
      <c r="Y326" s="718"/>
      <c r="Z326" s="718"/>
      <c r="AA326" s="718"/>
      <c r="AB326" s="718"/>
      <c r="AC326" s="718"/>
      <c r="AD326" s="718"/>
      <c r="AE326" s="718"/>
      <c r="AF326" s="718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20"/>
      <c r="AV326" s="120"/>
      <c r="AW326" s="120"/>
      <c r="AX326" s="120"/>
      <c r="AY326" s="120"/>
      <c r="AZ326" s="120"/>
      <c r="BA326" s="120"/>
      <c r="BB326" s="120"/>
      <c r="BC326" s="120"/>
      <c r="BD326" s="120"/>
      <c r="BE326" s="120"/>
      <c r="BF326" s="120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20"/>
      <c r="BS326" s="120"/>
      <c r="BT326" s="120"/>
      <c r="BU326" s="120"/>
      <c r="BV326" s="120"/>
      <c r="BW326" s="120"/>
      <c r="BX326" s="120"/>
      <c r="BY326" s="120"/>
      <c r="BZ326" s="120"/>
      <c r="CA326" s="120"/>
      <c r="CB326" s="120"/>
      <c r="CC326" s="120"/>
      <c r="CD326" s="120"/>
      <c r="CE326" s="120"/>
      <c r="CF326" s="120"/>
      <c r="CG326" s="120"/>
      <c r="CH326" s="120"/>
      <c r="CI326" s="120"/>
      <c r="CJ326" s="120"/>
      <c r="CK326" s="120"/>
      <c r="CL326" s="120"/>
      <c r="CM326" s="120"/>
      <c r="CN326" s="120"/>
      <c r="CO326" s="120"/>
      <c r="CP326" s="120"/>
      <c r="CQ326" s="120"/>
      <c r="CR326" s="120"/>
      <c r="CS326" s="120"/>
      <c r="CT326" s="120"/>
      <c r="CU326" s="120"/>
      <c r="CV326" s="120"/>
      <c r="CW326" s="120"/>
      <c r="CX326" s="120"/>
      <c r="CY326" s="120"/>
      <c r="CZ326" s="120"/>
      <c r="DA326" s="120"/>
      <c r="DB326" s="120"/>
      <c r="DC326" s="120"/>
      <c r="DD326" s="120"/>
      <c r="DE326" s="120"/>
      <c r="DF326" s="120"/>
      <c r="DG326" s="120"/>
      <c r="DH326" s="120"/>
      <c r="DI326" s="120"/>
      <c r="DJ326" s="120"/>
      <c r="DK326" s="120"/>
      <c r="DL326" s="120"/>
      <c r="DM326" s="120"/>
      <c r="DN326" s="120"/>
      <c r="DO326" s="120"/>
      <c r="DP326" s="120"/>
      <c r="DQ326" s="120"/>
      <c r="DR326" s="120"/>
      <c r="DS326" s="120"/>
      <c r="DT326" s="120"/>
      <c r="DU326" s="120"/>
      <c r="DV326" s="120"/>
      <c r="DW326" s="120"/>
      <c r="DX326" s="120"/>
      <c r="DY326" s="120"/>
      <c r="DZ326" s="120"/>
      <c r="EA326" s="120"/>
      <c r="EB326" s="120"/>
      <c r="EC326" s="120"/>
      <c r="ED326" s="120"/>
      <c r="EE326" s="120"/>
      <c r="EF326" s="120"/>
      <c r="EG326" s="120"/>
      <c r="EH326" s="120"/>
      <c r="EI326" s="120"/>
      <c r="EJ326" s="120"/>
      <c r="EK326" s="120"/>
      <c r="EL326" s="120"/>
      <c r="EM326" s="120"/>
      <c r="EN326" s="120"/>
      <c r="EO326" s="120"/>
      <c r="EP326" s="120"/>
      <c r="EQ326" s="120"/>
      <c r="ER326" s="120"/>
      <c r="ES326" s="120"/>
      <c r="ET326" s="120"/>
      <c r="EU326" s="120"/>
      <c r="EV326" s="120"/>
      <c r="EW326" s="120"/>
      <c r="EX326" s="120"/>
      <c r="EY326" s="120"/>
      <c r="EZ326" s="120"/>
      <c r="FA326" s="120"/>
      <c r="FB326" s="120"/>
      <c r="FC326" s="120"/>
      <c r="FD326" s="120"/>
      <c r="FE326" s="120"/>
      <c r="FF326" s="120"/>
      <c r="FG326" s="120"/>
      <c r="FH326" s="120"/>
      <c r="FI326" s="120"/>
      <c r="FJ326" s="120"/>
      <c r="FK326" s="120"/>
      <c r="FL326" s="120"/>
      <c r="FM326" s="120"/>
      <c r="FN326" s="120"/>
      <c r="FO326" s="120"/>
      <c r="FP326" s="120"/>
      <c r="FQ326" s="120"/>
      <c r="FR326" s="120"/>
      <c r="FS326" s="120"/>
      <c r="FT326" s="120"/>
      <c r="FU326" s="120"/>
      <c r="FV326" s="120"/>
      <c r="FW326" s="120"/>
      <c r="FX326" s="120"/>
      <c r="FY326" s="120"/>
      <c r="FZ326" s="120"/>
      <c r="GA326" s="120"/>
      <c r="GB326" s="120"/>
      <c r="GC326" s="120"/>
      <c r="GD326" s="120"/>
      <c r="GE326" s="120"/>
      <c r="GF326" s="120"/>
      <c r="GG326" s="120"/>
      <c r="GH326" s="120"/>
      <c r="GI326" s="120"/>
      <c r="GJ326" s="120"/>
      <c r="GK326" s="120"/>
      <c r="GL326" s="120"/>
      <c r="GM326" s="120"/>
      <c r="GN326" s="120"/>
      <c r="GO326" s="120"/>
      <c r="GP326" s="120"/>
      <c r="GQ326" s="120"/>
      <c r="GR326" s="120"/>
      <c r="GS326" s="120"/>
      <c r="GT326" s="120"/>
      <c r="GU326" s="120"/>
      <c r="GV326" s="120"/>
      <c r="GW326" s="120"/>
      <c r="GX326" s="120"/>
      <c r="GY326" s="120"/>
      <c r="GZ326" s="120"/>
      <c r="HA326" s="120"/>
      <c r="HB326" s="120"/>
      <c r="HC326" s="120"/>
      <c r="HD326" s="120"/>
      <c r="HE326" s="120"/>
      <c r="HF326" s="120"/>
      <c r="HG326" s="120"/>
      <c r="HH326" s="120"/>
      <c r="HI326" s="120"/>
      <c r="HJ326" s="120"/>
      <c r="HK326" s="120"/>
      <c r="HL326" s="120"/>
      <c r="HM326" s="120"/>
      <c r="HN326" s="120"/>
      <c r="HO326" s="120"/>
      <c r="HP326" s="120"/>
      <c r="HQ326" s="120"/>
      <c r="HR326" s="120"/>
      <c r="HS326" s="120"/>
      <c r="HT326" s="120"/>
      <c r="HU326" s="120"/>
      <c r="HV326" s="120"/>
      <c r="HW326" s="120"/>
      <c r="HX326" s="120"/>
      <c r="HY326" s="120"/>
      <c r="HZ326" s="120"/>
      <c r="IA326" s="120"/>
      <c r="IB326" s="120"/>
      <c r="IC326" s="120"/>
      <c r="ID326" s="120"/>
      <c r="IE326" s="120"/>
      <c r="IF326" s="120"/>
      <c r="IG326" s="120"/>
      <c r="IH326" s="120"/>
      <c r="II326" s="120"/>
      <c r="IJ326" s="120"/>
      <c r="IK326" s="120"/>
      <c r="IL326" s="120"/>
      <c r="IM326" s="120"/>
    </row>
    <row r="327" spans="2:247" ht="63" x14ac:dyDescent="0.25">
      <c r="B327" s="306" t="s">
        <v>118</v>
      </c>
      <c r="C327" s="50" t="s">
        <v>85</v>
      </c>
      <c r="D327" s="309"/>
      <c r="E327" s="111">
        <v>1</v>
      </c>
      <c r="F327" s="64">
        <v>100</v>
      </c>
      <c r="G327" s="688"/>
      <c r="H327" s="80" t="s">
        <v>995</v>
      </c>
      <c r="I327" s="718"/>
      <c r="J327" s="718"/>
      <c r="K327" s="718"/>
      <c r="L327" s="718"/>
      <c r="M327" s="718"/>
      <c r="N327" s="718"/>
      <c r="O327" s="718"/>
      <c r="P327" s="718"/>
      <c r="Q327" s="718"/>
      <c r="R327" s="718"/>
      <c r="S327" s="718"/>
      <c r="T327" s="718"/>
      <c r="U327" s="718"/>
      <c r="V327" s="718"/>
      <c r="W327" s="718"/>
      <c r="X327" s="718"/>
      <c r="Y327" s="718"/>
      <c r="Z327" s="718"/>
      <c r="AA327" s="718"/>
      <c r="AB327" s="718"/>
      <c r="AC327" s="718"/>
      <c r="AD327" s="718"/>
      <c r="AE327" s="718"/>
      <c r="AF327" s="718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20"/>
      <c r="AV327" s="120"/>
      <c r="AW327" s="120"/>
      <c r="AX327" s="120"/>
      <c r="AY327" s="120"/>
      <c r="AZ327" s="120"/>
      <c r="BA327" s="120"/>
      <c r="BB327" s="120"/>
      <c r="BC327" s="120"/>
      <c r="BD327" s="120"/>
      <c r="BE327" s="120"/>
      <c r="BF327" s="120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20"/>
      <c r="BS327" s="120"/>
      <c r="BT327" s="120"/>
      <c r="BU327" s="120"/>
      <c r="BV327" s="120"/>
      <c r="BW327" s="120"/>
      <c r="BX327" s="120"/>
      <c r="BY327" s="120"/>
      <c r="BZ327" s="120"/>
      <c r="CA327" s="120"/>
      <c r="CB327" s="120"/>
      <c r="CC327" s="120"/>
      <c r="CD327" s="120"/>
      <c r="CE327" s="120"/>
      <c r="CF327" s="120"/>
      <c r="CG327" s="120"/>
      <c r="CH327" s="120"/>
      <c r="CI327" s="120"/>
      <c r="CJ327" s="120"/>
      <c r="CK327" s="120"/>
      <c r="CL327" s="120"/>
      <c r="CM327" s="120"/>
      <c r="CN327" s="120"/>
      <c r="CO327" s="120"/>
      <c r="CP327" s="120"/>
      <c r="CQ327" s="120"/>
      <c r="CR327" s="120"/>
      <c r="CS327" s="120"/>
      <c r="CT327" s="120"/>
      <c r="CU327" s="120"/>
      <c r="CV327" s="120"/>
      <c r="CW327" s="120"/>
      <c r="CX327" s="120"/>
      <c r="CY327" s="120"/>
      <c r="CZ327" s="120"/>
      <c r="DA327" s="120"/>
      <c r="DB327" s="120"/>
      <c r="DC327" s="120"/>
      <c r="DD327" s="120"/>
      <c r="DE327" s="120"/>
      <c r="DF327" s="120"/>
      <c r="DG327" s="120"/>
      <c r="DH327" s="120"/>
      <c r="DI327" s="120"/>
      <c r="DJ327" s="120"/>
      <c r="DK327" s="120"/>
      <c r="DL327" s="120"/>
      <c r="DM327" s="120"/>
      <c r="DN327" s="120"/>
      <c r="DO327" s="120"/>
      <c r="DP327" s="120"/>
      <c r="DQ327" s="120"/>
      <c r="DR327" s="120"/>
      <c r="DS327" s="120"/>
      <c r="DT327" s="120"/>
      <c r="DU327" s="120"/>
      <c r="DV327" s="120"/>
      <c r="DW327" s="120"/>
      <c r="DX327" s="120"/>
      <c r="DY327" s="120"/>
      <c r="DZ327" s="120"/>
      <c r="EA327" s="120"/>
      <c r="EB327" s="120"/>
      <c r="EC327" s="120"/>
      <c r="ED327" s="120"/>
      <c r="EE327" s="120"/>
      <c r="EF327" s="120"/>
      <c r="EG327" s="120"/>
      <c r="EH327" s="120"/>
      <c r="EI327" s="120"/>
      <c r="EJ327" s="120"/>
      <c r="EK327" s="120"/>
      <c r="EL327" s="120"/>
      <c r="EM327" s="120"/>
      <c r="EN327" s="120"/>
      <c r="EO327" s="120"/>
      <c r="EP327" s="120"/>
      <c r="EQ327" s="120"/>
      <c r="ER327" s="120"/>
      <c r="ES327" s="120"/>
      <c r="ET327" s="120"/>
      <c r="EU327" s="120"/>
      <c r="EV327" s="120"/>
      <c r="EW327" s="120"/>
      <c r="EX327" s="120"/>
      <c r="EY327" s="120"/>
      <c r="EZ327" s="120"/>
      <c r="FA327" s="120"/>
      <c r="FB327" s="120"/>
      <c r="FC327" s="120"/>
      <c r="FD327" s="120"/>
      <c r="FE327" s="120"/>
      <c r="FF327" s="120"/>
      <c r="FG327" s="120"/>
      <c r="FH327" s="120"/>
      <c r="FI327" s="120"/>
      <c r="FJ327" s="120"/>
      <c r="FK327" s="120"/>
      <c r="FL327" s="120"/>
      <c r="FM327" s="120"/>
      <c r="FN327" s="120"/>
      <c r="FO327" s="120"/>
      <c r="FP327" s="120"/>
      <c r="FQ327" s="120"/>
      <c r="FR327" s="120"/>
      <c r="FS327" s="120"/>
      <c r="FT327" s="120"/>
      <c r="FU327" s="120"/>
      <c r="FV327" s="120"/>
      <c r="FW327" s="120"/>
      <c r="FX327" s="120"/>
      <c r="FY327" s="120"/>
      <c r="FZ327" s="120"/>
      <c r="GA327" s="120"/>
      <c r="GB327" s="120"/>
      <c r="GC327" s="120"/>
      <c r="GD327" s="120"/>
      <c r="GE327" s="120"/>
      <c r="GF327" s="120"/>
      <c r="GG327" s="120"/>
      <c r="GH327" s="120"/>
      <c r="GI327" s="120"/>
      <c r="GJ327" s="120"/>
      <c r="GK327" s="120"/>
      <c r="GL327" s="120"/>
      <c r="GM327" s="120"/>
      <c r="GN327" s="120"/>
      <c r="GO327" s="120"/>
      <c r="GP327" s="120"/>
      <c r="GQ327" s="120"/>
      <c r="GR327" s="120"/>
      <c r="GS327" s="120"/>
      <c r="GT327" s="120"/>
      <c r="GU327" s="120"/>
      <c r="GV327" s="120"/>
      <c r="GW327" s="120"/>
      <c r="GX327" s="120"/>
      <c r="GY327" s="120"/>
      <c r="GZ327" s="120"/>
      <c r="HA327" s="120"/>
      <c r="HB327" s="120"/>
      <c r="HC327" s="120"/>
      <c r="HD327" s="120"/>
      <c r="HE327" s="120"/>
      <c r="HF327" s="120"/>
      <c r="HG327" s="120"/>
      <c r="HH327" s="120"/>
      <c r="HI327" s="120"/>
      <c r="HJ327" s="120"/>
      <c r="HK327" s="120"/>
      <c r="HL327" s="120"/>
      <c r="HM327" s="120"/>
      <c r="HN327" s="120"/>
      <c r="HO327" s="120"/>
      <c r="HP327" s="120"/>
      <c r="HQ327" s="120"/>
      <c r="HR327" s="120"/>
      <c r="HS327" s="120"/>
      <c r="HT327" s="120"/>
      <c r="HU327" s="120"/>
      <c r="HV327" s="120"/>
      <c r="HW327" s="120"/>
      <c r="HX327" s="120"/>
      <c r="HY327" s="120"/>
      <c r="HZ327" s="120"/>
      <c r="IA327" s="120"/>
      <c r="IB327" s="120"/>
      <c r="IC327" s="120"/>
      <c r="ID327" s="120"/>
      <c r="IE327" s="120"/>
      <c r="IF327" s="120"/>
      <c r="IG327" s="120"/>
      <c r="IH327" s="120"/>
      <c r="II327" s="120"/>
      <c r="IJ327" s="120"/>
      <c r="IK327" s="120"/>
      <c r="IL327" s="120"/>
      <c r="IM327" s="120"/>
    </row>
    <row r="328" spans="2:247" ht="31.5" x14ac:dyDescent="0.25">
      <c r="B328" s="306" t="s">
        <v>119</v>
      </c>
      <c r="C328" s="50" t="s">
        <v>85</v>
      </c>
      <c r="D328" s="111">
        <v>2</v>
      </c>
      <c r="E328" s="111">
        <v>2</v>
      </c>
      <c r="F328" s="64">
        <f t="shared" si="9"/>
        <v>100</v>
      </c>
      <c r="G328" s="688"/>
      <c r="H328" s="80" t="s">
        <v>996</v>
      </c>
      <c r="I328" s="718"/>
      <c r="J328" s="718"/>
      <c r="K328" s="718"/>
      <c r="L328" s="718"/>
      <c r="M328" s="718"/>
      <c r="N328" s="718"/>
      <c r="O328" s="718"/>
      <c r="P328" s="718"/>
      <c r="Q328" s="718"/>
      <c r="R328" s="718"/>
      <c r="S328" s="718"/>
      <c r="T328" s="718"/>
      <c r="U328" s="718"/>
      <c r="V328" s="718"/>
      <c r="W328" s="718"/>
      <c r="X328" s="718"/>
      <c r="Y328" s="718"/>
      <c r="Z328" s="718"/>
      <c r="AA328" s="718"/>
      <c r="AB328" s="718"/>
      <c r="AC328" s="718"/>
      <c r="AD328" s="718"/>
      <c r="AE328" s="718"/>
      <c r="AF328" s="718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20"/>
      <c r="AV328" s="120"/>
      <c r="AW328" s="120"/>
      <c r="AX328" s="120"/>
      <c r="AY328" s="120"/>
      <c r="AZ328" s="120"/>
      <c r="BA328" s="120"/>
      <c r="BB328" s="120"/>
      <c r="BC328" s="120"/>
      <c r="BD328" s="120"/>
      <c r="BE328" s="120"/>
      <c r="BF328" s="120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20"/>
      <c r="BS328" s="120"/>
      <c r="BT328" s="120"/>
      <c r="BU328" s="120"/>
      <c r="BV328" s="120"/>
      <c r="BW328" s="120"/>
      <c r="BX328" s="120"/>
      <c r="BY328" s="120"/>
      <c r="BZ328" s="120"/>
      <c r="CA328" s="120"/>
      <c r="CB328" s="120"/>
      <c r="CC328" s="120"/>
      <c r="CD328" s="120"/>
      <c r="CE328" s="120"/>
      <c r="CF328" s="120"/>
      <c r="CG328" s="120"/>
      <c r="CH328" s="120"/>
      <c r="CI328" s="120"/>
      <c r="CJ328" s="120"/>
      <c r="CK328" s="120"/>
      <c r="CL328" s="120"/>
      <c r="CM328" s="120"/>
      <c r="CN328" s="120"/>
      <c r="CO328" s="120"/>
      <c r="CP328" s="120"/>
      <c r="CQ328" s="120"/>
      <c r="CR328" s="120"/>
      <c r="CS328" s="120"/>
      <c r="CT328" s="120"/>
      <c r="CU328" s="120"/>
      <c r="CV328" s="120"/>
      <c r="CW328" s="120"/>
      <c r="CX328" s="120"/>
      <c r="CY328" s="120"/>
      <c r="CZ328" s="120"/>
      <c r="DA328" s="120"/>
      <c r="DB328" s="120"/>
      <c r="DC328" s="120"/>
      <c r="DD328" s="120"/>
      <c r="DE328" s="120"/>
      <c r="DF328" s="120"/>
      <c r="DG328" s="120"/>
      <c r="DH328" s="120"/>
      <c r="DI328" s="120"/>
      <c r="DJ328" s="120"/>
      <c r="DK328" s="120"/>
      <c r="DL328" s="120"/>
      <c r="DM328" s="120"/>
      <c r="DN328" s="120"/>
      <c r="DO328" s="120"/>
      <c r="DP328" s="120"/>
      <c r="DQ328" s="120"/>
      <c r="DR328" s="120"/>
      <c r="DS328" s="120"/>
      <c r="DT328" s="120"/>
      <c r="DU328" s="120"/>
      <c r="DV328" s="120"/>
      <c r="DW328" s="120"/>
      <c r="DX328" s="120"/>
      <c r="DY328" s="120"/>
      <c r="DZ328" s="120"/>
      <c r="EA328" s="120"/>
      <c r="EB328" s="120"/>
      <c r="EC328" s="120"/>
      <c r="ED328" s="120"/>
      <c r="EE328" s="120"/>
      <c r="EF328" s="120"/>
      <c r="EG328" s="120"/>
      <c r="EH328" s="120"/>
      <c r="EI328" s="120"/>
      <c r="EJ328" s="120"/>
      <c r="EK328" s="120"/>
      <c r="EL328" s="120"/>
      <c r="EM328" s="120"/>
      <c r="EN328" s="120"/>
      <c r="EO328" s="120"/>
      <c r="EP328" s="120"/>
      <c r="EQ328" s="120"/>
      <c r="ER328" s="120"/>
      <c r="ES328" s="120"/>
      <c r="ET328" s="120"/>
      <c r="EU328" s="120"/>
      <c r="EV328" s="120"/>
      <c r="EW328" s="120"/>
      <c r="EX328" s="120"/>
      <c r="EY328" s="120"/>
      <c r="EZ328" s="120"/>
      <c r="FA328" s="120"/>
      <c r="FB328" s="120"/>
      <c r="FC328" s="120"/>
      <c r="FD328" s="120"/>
      <c r="FE328" s="120"/>
      <c r="FF328" s="120"/>
      <c r="FG328" s="120"/>
      <c r="FH328" s="120"/>
      <c r="FI328" s="120"/>
      <c r="FJ328" s="120"/>
      <c r="FK328" s="120"/>
      <c r="FL328" s="120"/>
      <c r="FM328" s="120"/>
      <c r="FN328" s="120"/>
      <c r="FO328" s="120"/>
      <c r="FP328" s="120"/>
      <c r="FQ328" s="120"/>
      <c r="FR328" s="120"/>
      <c r="FS328" s="120"/>
      <c r="FT328" s="120"/>
      <c r="FU328" s="120"/>
      <c r="FV328" s="120"/>
      <c r="FW328" s="120"/>
      <c r="FX328" s="120"/>
      <c r="FY328" s="120"/>
      <c r="FZ328" s="120"/>
      <c r="GA328" s="120"/>
      <c r="GB328" s="120"/>
      <c r="GC328" s="120"/>
      <c r="GD328" s="120"/>
      <c r="GE328" s="120"/>
      <c r="GF328" s="120"/>
      <c r="GG328" s="120"/>
      <c r="GH328" s="120"/>
      <c r="GI328" s="120"/>
      <c r="GJ328" s="120"/>
      <c r="GK328" s="120"/>
      <c r="GL328" s="120"/>
      <c r="GM328" s="120"/>
      <c r="GN328" s="120"/>
      <c r="GO328" s="120"/>
      <c r="GP328" s="120"/>
      <c r="GQ328" s="120"/>
      <c r="GR328" s="120"/>
      <c r="GS328" s="120"/>
      <c r="GT328" s="120"/>
      <c r="GU328" s="120"/>
      <c r="GV328" s="120"/>
      <c r="GW328" s="120"/>
      <c r="GX328" s="120"/>
      <c r="GY328" s="120"/>
      <c r="GZ328" s="120"/>
      <c r="HA328" s="120"/>
      <c r="HB328" s="120"/>
      <c r="HC328" s="120"/>
      <c r="HD328" s="120"/>
      <c r="HE328" s="120"/>
      <c r="HF328" s="120"/>
      <c r="HG328" s="120"/>
      <c r="HH328" s="120"/>
      <c r="HI328" s="120"/>
      <c r="HJ328" s="120"/>
      <c r="HK328" s="120"/>
      <c r="HL328" s="120"/>
      <c r="HM328" s="120"/>
      <c r="HN328" s="120"/>
      <c r="HO328" s="120"/>
      <c r="HP328" s="120"/>
      <c r="HQ328" s="120"/>
      <c r="HR328" s="120"/>
      <c r="HS328" s="120"/>
      <c r="HT328" s="120"/>
      <c r="HU328" s="120"/>
      <c r="HV328" s="120"/>
      <c r="HW328" s="120"/>
      <c r="HX328" s="120"/>
      <c r="HY328" s="120"/>
      <c r="HZ328" s="120"/>
      <c r="IA328" s="120"/>
      <c r="IB328" s="120"/>
      <c r="IC328" s="120"/>
      <c r="ID328" s="120"/>
      <c r="IE328" s="120"/>
      <c r="IF328" s="120"/>
      <c r="IG328" s="120"/>
      <c r="IH328" s="120"/>
      <c r="II328" s="120"/>
      <c r="IJ328" s="120"/>
      <c r="IK328" s="120"/>
      <c r="IL328" s="120"/>
      <c r="IM328" s="120"/>
    </row>
    <row r="329" spans="2:247" ht="63" x14ac:dyDescent="0.25">
      <c r="B329" s="306" t="s">
        <v>120</v>
      </c>
      <c r="C329" s="50" t="s">
        <v>85</v>
      </c>
      <c r="D329" s="309"/>
      <c r="E329" s="111">
        <v>2</v>
      </c>
      <c r="F329" s="64">
        <v>100</v>
      </c>
      <c r="G329" s="688"/>
      <c r="H329" s="80" t="s">
        <v>997</v>
      </c>
      <c r="I329" s="718"/>
      <c r="J329" s="718"/>
      <c r="K329" s="718"/>
      <c r="L329" s="718"/>
      <c r="M329" s="718"/>
      <c r="N329" s="718"/>
      <c r="O329" s="718"/>
      <c r="P329" s="718"/>
      <c r="Q329" s="718"/>
      <c r="R329" s="718"/>
      <c r="S329" s="718"/>
      <c r="T329" s="718"/>
      <c r="U329" s="718"/>
      <c r="V329" s="718"/>
      <c r="W329" s="718"/>
      <c r="X329" s="718"/>
      <c r="Y329" s="718"/>
      <c r="Z329" s="718"/>
      <c r="AA329" s="718"/>
      <c r="AB329" s="718"/>
      <c r="AC329" s="718"/>
      <c r="AD329" s="718"/>
      <c r="AE329" s="718"/>
      <c r="AF329" s="718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20"/>
      <c r="AV329" s="120"/>
      <c r="AW329" s="120"/>
      <c r="AX329" s="120"/>
      <c r="AY329" s="120"/>
      <c r="AZ329" s="120"/>
      <c r="BA329" s="120"/>
      <c r="BB329" s="120"/>
      <c r="BC329" s="120"/>
      <c r="BD329" s="120"/>
      <c r="BE329" s="120"/>
      <c r="BF329" s="120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20"/>
      <c r="BS329" s="120"/>
      <c r="BT329" s="120"/>
      <c r="BU329" s="120"/>
      <c r="BV329" s="120"/>
      <c r="BW329" s="120"/>
      <c r="BX329" s="120"/>
      <c r="BY329" s="120"/>
      <c r="BZ329" s="120"/>
      <c r="CA329" s="120"/>
      <c r="CB329" s="120"/>
      <c r="CC329" s="120"/>
      <c r="CD329" s="120"/>
      <c r="CE329" s="120"/>
      <c r="CF329" s="120"/>
      <c r="CG329" s="120"/>
      <c r="CH329" s="120"/>
      <c r="CI329" s="120"/>
      <c r="CJ329" s="120"/>
      <c r="CK329" s="120"/>
      <c r="CL329" s="120"/>
      <c r="CM329" s="120"/>
      <c r="CN329" s="120"/>
      <c r="CO329" s="120"/>
      <c r="CP329" s="120"/>
      <c r="CQ329" s="120"/>
      <c r="CR329" s="120"/>
      <c r="CS329" s="120"/>
      <c r="CT329" s="120"/>
      <c r="CU329" s="120"/>
      <c r="CV329" s="120"/>
      <c r="CW329" s="120"/>
      <c r="CX329" s="120"/>
      <c r="CY329" s="120"/>
      <c r="CZ329" s="120"/>
      <c r="DA329" s="120"/>
      <c r="DB329" s="120"/>
      <c r="DC329" s="120"/>
      <c r="DD329" s="120"/>
      <c r="DE329" s="120"/>
      <c r="DF329" s="120"/>
      <c r="DG329" s="120"/>
      <c r="DH329" s="120"/>
      <c r="DI329" s="120"/>
      <c r="DJ329" s="120"/>
      <c r="DK329" s="120"/>
      <c r="DL329" s="120"/>
      <c r="DM329" s="120"/>
      <c r="DN329" s="120"/>
      <c r="DO329" s="120"/>
      <c r="DP329" s="120"/>
      <c r="DQ329" s="120"/>
      <c r="DR329" s="120"/>
      <c r="DS329" s="120"/>
      <c r="DT329" s="120"/>
      <c r="DU329" s="120"/>
      <c r="DV329" s="120"/>
      <c r="DW329" s="120"/>
      <c r="DX329" s="120"/>
      <c r="DY329" s="120"/>
      <c r="DZ329" s="120"/>
      <c r="EA329" s="120"/>
      <c r="EB329" s="120"/>
      <c r="EC329" s="120"/>
      <c r="ED329" s="120"/>
      <c r="EE329" s="120"/>
      <c r="EF329" s="120"/>
      <c r="EG329" s="120"/>
      <c r="EH329" s="120"/>
      <c r="EI329" s="120"/>
      <c r="EJ329" s="120"/>
      <c r="EK329" s="120"/>
      <c r="EL329" s="120"/>
      <c r="EM329" s="120"/>
      <c r="EN329" s="120"/>
      <c r="EO329" s="120"/>
      <c r="EP329" s="120"/>
      <c r="EQ329" s="120"/>
      <c r="ER329" s="120"/>
      <c r="ES329" s="120"/>
      <c r="ET329" s="120"/>
      <c r="EU329" s="120"/>
      <c r="EV329" s="120"/>
      <c r="EW329" s="120"/>
      <c r="EX329" s="120"/>
      <c r="EY329" s="120"/>
      <c r="EZ329" s="120"/>
      <c r="FA329" s="120"/>
      <c r="FB329" s="120"/>
      <c r="FC329" s="120"/>
      <c r="FD329" s="120"/>
      <c r="FE329" s="120"/>
      <c r="FF329" s="120"/>
      <c r="FG329" s="120"/>
      <c r="FH329" s="120"/>
      <c r="FI329" s="120"/>
      <c r="FJ329" s="120"/>
      <c r="FK329" s="120"/>
      <c r="FL329" s="120"/>
      <c r="FM329" s="120"/>
      <c r="FN329" s="120"/>
      <c r="FO329" s="120"/>
      <c r="FP329" s="120"/>
      <c r="FQ329" s="120"/>
      <c r="FR329" s="120"/>
      <c r="FS329" s="120"/>
      <c r="FT329" s="120"/>
      <c r="FU329" s="120"/>
      <c r="FV329" s="120"/>
      <c r="FW329" s="120"/>
      <c r="FX329" s="120"/>
      <c r="FY329" s="120"/>
      <c r="FZ329" s="120"/>
      <c r="GA329" s="120"/>
      <c r="GB329" s="120"/>
      <c r="GC329" s="120"/>
      <c r="GD329" s="120"/>
      <c r="GE329" s="120"/>
      <c r="GF329" s="120"/>
      <c r="GG329" s="120"/>
      <c r="GH329" s="120"/>
      <c r="GI329" s="120"/>
      <c r="GJ329" s="120"/>
      <c r="GK329" s="120"/>
      <c r="GL329" s="120"/>
      <c r="GM329" s="120"/>
      <c r="GN329" s="120"/>
      <c r="GO329" s="120"/>
      <c r="GP329" s="120"/>
      <c r="GQ329" s="120"/>
      <c r="GR329" s="120"/>
      <c r="GS329" s="120"/>
      <c r="GT329" s="120"/>
      <c r="GU329" s="120"/>
      <c r="GV329" s="120"/>
      <c r="GW329" s="120"/>
      <c r="GX329" s="120"/>
      <c r="GY329" s="120"/>
      <c r="GZ329" s="120"/>
      <c r="HA329" s="120"/>
      <c r="HB329" s="120"/>
      <c r="HC329" s="120"/>
      <c r="HD329" s="120"/>
      <c r="HE329" s="120"/>
      <c r="HF329" s="120"/>
      <c r="HG329" s="120"/>
      <c r="HH329" s="120"/>
      <c r="HI329" s="120"/>
      <c r="HJ329" s="120"/>
      <c r="HK329" s="120"/>
      <c r="HL329" s="120"/>
      <c r="HM329" s="120"/>
      <c r="HN329" s="120"/>
      <c r="HO329" s="120"/>
      <c r="HP329" s="120"/>
      <c r="HQ329" s="120"/>
      <c r="HR329" s="120"/>
      <c r="HS329" s="120"/>
      <c r="HT329" s="120"/>
      <c r="HU329" s="120"/>
      <c r="HV329" s="120"/>
      <c r="HW329" s="120"/>
      <c r="HX329" s="120"/>
      <c r="HY329" s="120"/>
      <c r="HZ329" s="120"/>
      <c r="IA329" s="120"/>
      <c r="IB329" s="120"/>
      <c r="IC329" s="120"/>
      <c r="ID329" s="120"/>
      <c r="IE329" s="120"/>
      <c r="IF329" s="120"/>
      <c r="IG329" s="120"/>
      <c r="IH329" s="120"/>
      <c r="II329" s="120"/>
      <c r="IJ329" s="120"/>
      <c r="IK329" s="120"/>
      <c r="IL329" s="120"/>
      <c r="IM329" s="120"/>
    </row>
    <row r="330" spans="2:247" ht="47.25" x14ac:dyDescent="0.25">
      <c r="B330" s="89" t="s">
        <v>121</v>
      </c>
      <c r="C330" s="50" t="s">
        <v>122</v>
      </c>
      <c r="D330" s="111">
        <v>2</v>
      </c>
      <c r="E330" s="111">
        <v>1</v>
      </c>
      <c r="F330" s="64">
        <f t="shared" si="9"/>
        <v>50</v>
      </c>
      <c r="G330" s="688"/>
      <c r="H330" s="80" t="s">
        <v>998</v>
      </c>
      <c r="I330" s="718"/>
      <c r="J330" s="718"/>
      <c r="K330" s="718"/>
      <c r="L330" s="718"/>
      <c r="M330" s="718"/>
      <c r="N330" s="718"/>
      <c r="O330" s="718"/>
      <c r="P330" s="718"/>
      <c r="Q330" s="718"/>
      <c r="R330" s="718"/>
      <c r="S330" s="718"/>
      <c r="T330" s="718"/>
      <c r="U330" s="718"/>
      <c r="V330" s="718"/>
      <c r="W330" s="718"/>
      <c r="X330" s="718"/>
      <c r="Y330" s="718"/>
      <c r="Z330" s="718"/>
      <c r="AA330" s="718"/>
      <c r="AB330" s="718"/>
      <c r="AC330" s="718"/>
      <c r="AD330" s="718"/>
      <c r="AE330" s="718"/>
      <c r="AF330" s="718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20"/>
      <c r="AV330" s="120"/>
      <c r="AW330" s="120"/>
      <c r="AX330" s="120"/>
      <c r="AY330" s="120"/>
      <c r="AZ330" s="120"/>
      <c r="BA330" s="120"/>
      <c r="BB330" s="120"/>
      <c r="BC330" s="120"/>
      <c r="BD330" s="120"/>
      <c r="BE330" s="120"/>
      <c r="BF330" s="120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20"/>
      <c r="BS330" s="120"/>
      <c r="BT330" s="120"/>
      <c r="BU330" s="120"/>
      <c r="BV330" s="120"/>
      <c r="BW330" s="120"/>
      <c r="BX330" s="120"/>
      <c r="BY330" s="120"/>
      <c r="BZ330" s="120"/>
      <c r="CA330" s="120"/>
      <c r="CB330" s="120"/>
      <c r="CC330" s="120"/>
      <c r="CD330" s="120"/>
      <c r="CE330" s="120"/>
      <c r="CF330" s="120"/>
      <c r="CG330" s="120"/>
      <c r="CH330" s="120"/>
      <c r="CI330" s="120"/>
      <c r="CJ330" s="120"/>
      <c r="CK330" s="120"/>
      <c r="CL330" s="120"/>
      <c r="CM330" s="120"/>
      <c r="CN330" s="120"/>
      <c r="CO330" s="120"/>
      <c r="CP330" s="120"/>
      <c r="CQ330" s="120"/>
      <c r="CR330" s="120"/>
      <c r="CS330" s="120"/>
      <c r="CT330" s="120"/>
      <c r="CU330" s="120"/>
      <c r="CV330" s="120"/>
      <c r="CW330" s="120"/>
      <c r="CX330" s="120"/>
      <c r="CY330" s="120"/>
      <c r="CZ330" s="120"/>
      <c r="DA330" s="120"/>
      <c r="DB330" s="120"/>
      <c r="DC330" s="120"/>
      <c r="DD330" s="120"/>
      <c r="DE330" s="120"/>
      <c r="DF330" s="120"/>
      <c r="DG330" s="120"/>
      <c r="DH330" s="120"/>
      <c r="DI330" s="120"/>
      <c r="DJ330" s="120"/>
      <c r="DK330" s="120"/>
      <c r="DL330" s="120"/>
      <c r="DM330" s="120"/>
      <c r="DN330" s="120"/>
      <c r="DO330" s="120"/>
      <c r="DP330" s="120"/>
      <c r="DQ330" s="120"/>
      <c r="DR330" s="120"/>
      <c r="DS330" s="120"/>
      <c r="DT330" s="120"/>
      <c r="DU330" s="120"/>
      <c r="DV330" s="120"/>
      <c r="DW330" s="120"/>
      <c r="DX330" s="120"/>
      <c r="DY330" s="120"/>
      <c r="DZ330" s="120"/>
      <c r="EA330" s="120"/>
      <c r="EB330" s="120"/>
      <c r="EC330" s="120"/>
      <c r="ED330" s="120"/>
      <c r="EE330" s="120"/>
      <c r="EF330" s="120"/>
      <c r="EG330" s="120"/>
      <c r="EH330" s="120"/>
      <c r="EI330" s="120"/>
      <c r="EJ330" s="120"/>
      <c r="EK330" s="120"/>
      <c r="EL330" s="120"/>
      <c r="EM330" s="120"/>
      <c r="EN330" s="120"/>
      <c r="EO330" s="120"/>
      <c r="EP330" s="120"/>
      <c r="EQ330" s="120"/>
      <c r="ER330" s="120"/>
      <c r="ES330" s="120"/>
      <c r="ET330" s="120"/>
      <c r="EU330" s="120"/>
      <c r="EV330" s="120"/>
      <c r="EW330" s="120"/>
      <c r="EX330" s="120"/>
      <c r="EY330" s="120"/>
      <c r="EZ330" s="120"/>
      <c r="FA330" s="120"/>
      <c r="FB330" s="120"/>
      <c r="FC330" s="120"/>
      <c r="FD330" s="120"/>
      <c r="FE330" s="120"/>
      <c r="FF330" s="120"/>
      <c r="FG330" s="120"/>
      <c r="FH330" s="120"/>
      <c r="FI330" s="120"/>
      <c r="FJ330" s="120"/>
      <c r="FK330" s="120"/>
      <c r="FL330" s="120"/>
      <c r="FM330" s="120"/>
      <c r="FN330" s="120"/>
      <c r="FO330" s="120"/>
      <c r="FP330" s="120"/>
      <c r="FQ330" s="120"/>
      <c r="FR330" s="120"/>
      <c r="FS330" s="120"/>
      <c r="FT330" s="120"/>
      <c r="FU330" s="120"/>
      <c r="FV330" s="120"/>
      <c r="FW330" s="120"/>
      <c r="FX330" s="120"/>
      <c r="FY330" s="120"/>
      <c r="FZ330" s="120"/>
      <c r="GA330" s="120"/>
      <c r="GB330" s="120"/>
      <c r="GC330" s="120"/>
      <c r="GD330" s="120"/>
      <c r="GE330" s="120"/>
      <c r="GF330" s="120"/>
      <c r="GG330" s="120"/>
      <c r="GH330" s="120"/>
      <c r="GI330" s="120"/>
      <c r="GJ330" s="120"/>
      <c r="GK330" s="120"/>
      <c r="GL330" s="120"/>
      <c r="GM330" s="120"/>
      <c r="GN330" s="120"/>
      <c r="GO330" s="120"/>
      <c r="GP330" s="120"/>
      <c r="GQ330" s="120"/>
      <c r="GR330" s="120"/>
      <c r="GS330" s="120"/>
      <c r="GT330" s="120"/>
      <c r="GU330" s="120"/>
      <c r="GV330" s="120"/>
      <c r="GW330" s="120"/>
      <c r="GX330" s="120"/>
      <c r="GY330" s="120"/>
      <c r="GZ330" s="120"/>
      <c r="HA330" s="120"/>
      <c r="HB330" s="120"/>
      <c r="HC330" s="120"/>
      <c r="HD330" s="120"/>
      <c r="HE330" s="120"/>
      <c r="HF330" s="120"/>
      <c r="HG330" s="120"/>
      <c r="HH330" s="120"/>
      <c r="HI330" s="120"/>
      <c r="HJ330" s="120"/>
      <c r="HK330" s="120"/>
      <c r="HL330" s="120"/>
      <c r="HM330" s="120"/>
      <c r="HN330" s="120"/>
      <c r="HO330" s="120"/>
      <c r="HP330" s="120"/>
      <c r="HQ330" s="120"/>
      <c r="HR330" s="120"/>
      <c r="HS330" s="120"/>
      <c r="HT330" s="120"/>
      <c r="HU330" s="120"/>
      <c r="HV330" s="120"/>
      <c r="HW330" s="120"/>
      <c r="HX330" s="120"/>
      <c r="HY330" s="120"/>
      <c r="HZ330" s="120"/>
      <c r="IA330" s="120"/>
      <c r="IB330" s="120"/>
      <c r="IC330" s="120"/>
      <c r="ID330" s="120"/>
      <c r="IE330" s="120"/>
      <c r="IF330" s="120"/>
      <c r="IG330" s="120"/>
      <c r="IH330" s="120"/>
      <c r="II330" s="120"/>
      <c r="IJ330" s="120"/>
      <c r="IK330" s="120"/>
      <c r="IL330" s="120"/>
      <c r="IM330" s="120"/>
    </row>
    <row r="331" spans="2:247" ht="47.25" x14ac:dyDescent="0.25">
      <c r="B331" s="89" t="s">
        <v>123</v>
      </c>
      <c r="C331" s="50" t="s">
        <v>85</v>
      </c>
      <c r="D331" s="309">
        <v>1</v>
      </c>
      <c r="E331" s="309">
        <v>1</v>
      </c>
      <c r="F331" s="64">
        <f t="shared" si="9"/>
        <v>100</v>
      </c>
      <c r="G331" s="688"/>
      <c r="H331" s="80" t="s">
        <v>1216</v>
      </c>
      <c r="I331" s="718"/>
      <c r="J331" s="718"/>
      <c r="K331" s="718"/>
      <c r="L331" s="718"/>
      <c r="M331" s="718"/>
      <c r="N331" s="718"/>
      <c r="O331" s="718"/>
      <c r="P331" s="718"/>
      <c r="Q331" s="718"/>
      <c r="R331" s="718"/>
      <c r="S331" s="718"/>
      <c r="T331" s="718"/>
      <c r="U331" s="718"/>
      <c r="V331" s="718"/>
      <c r="W331" s="718"/>
      <c r="X331" s="718"/>
      <c r="Y331" s="718"/>
      <c r="Z331" s="718"/>
      <c r="AA331" s="718"/>
      <c r="AB331" s="718"/>
      <c r="AC331" s="718"/>
      <c r="AD331" s="718"/>
      <c r="AE331" s="718"/>
      <c r="AF331" s="718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20"/>
      <c r="AV331" s="120"/>
      <c r="AW331" s="120"/>
      <c r="AX331" s="120"/>
      <c r="AY331" s="120"/>
      <c r="AZ331" s="120"/>
      <c r="BA331" s="120"/>
      <c r="BB331" s="120"/>
      <c r="BC331" s="120"/>
      <c r="BD331" s="120"/>
      <c r="BE331" s="120"/>
      <c r="BF331" s="120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20"/>
      <c r="BS331" s="120"/>
      <c r="BT331" s="120"/>
      <c r="BU331" s="120"/>
      <c r="BV331" s="120"/>
      <c r="BW331" s="120"/>
      <c r="BX331" s="120"/>
      <c r="BY331" s="120"/>
      <c r="BZ331" s="120"/>
      <c r="CA331" s="120"/>
      <c r="CB331" s="120"/>
      <c r="CC331" s="120"/>
      <c r="CD331" s="120"/>
      <c r="CE331" s="120"/>
      <c r="CF331" s="120"/>
      <c r="CG331" s="120"/>
      <c r="CH331" s="120"/>
      <c r="CI331" s="120"/>
      <c r="CJ331" s="120"/>
      <c r="CK331" s="120"/>
      <c r="CL331" s="120"/>
      <c r="CM331" s="120"/>
      <c r="CN331" s="120"/>
      <c r="CO331" s="120"/>
      <c r="CP331" s="120"/>
      <c r="CQ331" s="120"/>
      <c r="CR331" s="120"/>
      <c r="CS331" s="120"/>
      <c r="CT331" s="120"/>
      <c r="CU331" s="120"/>
      <c r="CV331" s="120"/>
      <c r="CW331" s="120"/>
      <c r="CX331" s="120"/>
      <c r="CY331" s="120"/>
      <c r="CZ331" s="120"/>
      <c r="DA331" s="120"/>
      <c r="DB331" s="120"/>
      <c r="DC331" s="120"/>
      <c r="DD331" s="120"/>
      <c r="DE331" s="120"/>
      <c r="DF331" s="120"/>
      <c r="DG331" s="120"/>
      <c r="DH331" s="120"/>
      <c r="DI331" s="120"/>
      <c r="DJ331" s="120"/>
      <c r="DK331" s="120"/>
      <c r="DL331" s="120"/>
      <c r="DM331" s="120"/>
      <c r="DN331" s="120"/>
      <c r="DO331" s="120"/>
      <c r="DP331" s="120"/>
      <c r="DQ331" s="120"/>
      <c r="DR331" s="120"/>
      <c r="DS331" s="120"/>
      <c r="DT331" s="120"/>
      <c r="DU331" s="120"/>
      <c r="DV331" s="120"/>
      <c r="DW331" s="120"/>
      <c r="DX331" s="120"/>
      <c r="DY331" s="120"/>
      <c r="DZ331" s="120"/>
      <c r="EA331" s="120"/>
      <c r="EB331" s="120"/>
      <c r="EC331" s="120"/>
      <c r="ED331" s="120"/>
      <c r="EE331" s="120"/>
      <c r="EF331" s="120"/>
      <c r="EG331" s="120"/>
      <c r="EH331" s="120"/>
      <c r="EI331" s="120"/>
      <c r="EJ331" s="120"/>
      <c r="EK331" s="120"/>
      <c r="EL331" s="120"/>
      <c r="EM331" s="120"/>
      <c r="EN331" s="120"/>
      <c r="EO331" s="120"/>
      <c r="EP331" s="120"/>
      <c r="EQ331" s="120"/>
      <c r="ER331" s="120"/>
      <c r="ES331" s="120"/>
      <c r="ET331" s="120"/>
      <c r="EU331" s="120"/>
      <c r="EV331" s="120"/>
      <c r="EW331" s="120"/>
      <c r="EX331" s="120"/>
      <c r="EY331" s="120"/>
      <c r="EZ331" s="120"/>
      <c r="FA331" s="120"/>
      <c r="FB331" s="120"/>
      <c r="FC331" s="120"/>
      <c r="FD331" s="120"/>
      <c r="FE331" s="120"/>
      <c r="FF331" s="120"/>
      <c r="FG331" s="120"/>
      <c r="FH331" s="120"/>
      <c r="FI331" s="120"/>
      <c r="FJ331" s="120"/>
      <c r="FK331" s="120"/>
      <c r="FL331" s="120"/>
      <c r="FM331" s="120"/>
      <c r="FN331" s="120"/>
      <c r="FO331" s="120"/>
      <c r="FP331" s="120"/>
      <c r="FQ331" s="120"/>
      <c r="FR331" s="120"/>
      <c r="FS331" s="120"/>
      <c r="FT331" s="120"/>
      <c r="FU331" s="120"/>
      <c r="FV331" s="120"/>
      <c r="FW331" s="120"/>
      <c r="FX331" s="120"/>
      <c r="FY331" s="120"/>
      <c r="FZ331" s="120"/>
      <c r="GA331" s="120"/>
      <c r="GB331" s="120"/>
      <c r="GC331" s="120"/>
      <c r="GD331" s="120"/>
      <c r="GE331" s="120"/>
      <c r="GF331" s="120"/>
      <c r="GG331" s="120"/>
      <c r="GH331" s="120"/>
      <c r="GI331" s="120"/>
      <c r="GJ331" s="120"/>
      <c r="GK331" s="120"/>
      <c r="GL331" s="120"/>
      <c r="GM331" s="120"/>
      <c r="GN331" s="120"/>
      <c r="GO331" s="120"/>
      <c r="GP331" s="120"/>
      <c r="GQ331" s="120"/>
      <c r="GR331" s="120"/>
      <c r="GS331" s="120"/>
      <c r="GT331" s="120"/>
      <c r="GU331" s="120"/>
      <c r="GV331" s="120"/>
      <c r="GW331" s="120"/>
      <c r="GX331" s="120"/>
      <c r="GY331" s="120"/>
      <c r="GZ331" s="120"/>
      <c r="HA331" s="120"/>
      <c r="HB331" s="120"/>
      <c r="HC331" s="120"/>
      <c r="HD331" s="120"/>
      <c r="HE331" s="120"/>
      <c r="HF331" s="120"/>
      <c r="HG331" s="120"/>
      <c r="HH331" s="120"/>
      <c r="HI331" s="120"/>
      <c r="HJ331" s="120"/>
      <c r="HK331" s="120"/>
      <c r="HL331" s="120"/>
      <c r="HM331" s="120"/>
      <c r="HN331" s="120"/>
      <c r="HO331" s="120"/>
      <c r="HP331" s="120"/>
      <c r="HQ331" s="120"/>
      <c r="HR331" s="120"/>
      <c r="HS331" s="120"/>
      <c r="HT331" s="120"/>
      <c r="HU331" s="120"/>
      <c r="HV331" s="120"/>
      <c r="HW331" s="120"/>
      <c r="HX331" s="120"/>
      <c r="HY331" s="120"/>
      <c r="HZ331" s="120"/>
      <c r="IA331" s="120"/>
      <c r="IB331" s="120"/>
      <c r="IC331" s="120"/>
      <c r="ID331" s="120"/>
      <c r="IE331" s="120"/>
      <c r="IF331" s="120"/>
      <c r="IG331" s="120"/>
      <c r="IH331" s="120"/>
      <c r="II331" s="120"/>
      <c r="IJ331" s="120"/>
      <c r="IK331" s="120"/>
      <c r="IL331" s="120"/>
      <c r="IM331" s="120"/>
    </row>
    <row r="332" spans="2:247" x14ac:dyDescent="0.25">
      <c r="B332" s="806" t="s">
        <v>124</v>
      </c>
      <c r="C332" s="807"/>
      <c r="D332" s="807"/>
      <c r="E332" s="807"/>
      <c r="F332" s="808"/>
      <c r="G332" s="688"/>
      <c r="H332" s="431"/>
      <c r="I332" s="718"/>
      <c r="J332" s="718"/>
      <c r="K332" s="718"/>
      <c r="L332" s="718"/>
      <c r="M332" s="718"/>
      <c r="N332" s="718"/>
      <c r="O332" s="718"/>
      <c r="P332" s="718"/>
      <c r="Q332" s="718"/>
      <c r="R332" s="718"/>
      <c r="S332" s="718"/>
      <c r="T332" s="718"/>
      <c r="U332" s="718"/>
      <c r="V332" s="718"/>
      <c r="W332" s="718"/>
      <c r="X332" s="718"/>
      <c r="Y332" s="718"/>
      <c r="Z332" s="718"/>
      <c r="AA332" s="718"/>
      <c r="AB332" s="718"/>
      <c r="AC332" s="718"/>
      <c r="AD332" s="718"/>
      <c r="AE332" s="718"/>
      <c r="AF332" s="718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20"/>
      <c r="AV332" s="120"/>
      <c r="AW332" s="120"/>
      <c r="AX332" s="120"/>
      <c r="AY332" s="120"/>
      <c r="AZ332" s="120"/>
      <c r="BA332" s="120"/>
      <c r="BB332" s="120"/>
      <c r="BC332" s="120"/>
      <c r="BD332" s="120"/>
      <c r="BE332" s="120"/>
      <c r="BF332" s="120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20"/>
      <c r="BS332" s="120"/>
      <c r="BT332" s="120"/>
      <c r="BU332" s="120"/>
      <c r="BV332" s="120"/>
      <c r="BW332" s="120"/>
      <c r="BX332" s="120"/>
      <c r="BY332" s="120"/>
      <c r="BZ332" s="120"/>
      <c r="CA332" s="120"/>
      <c r="CB332" s="120"/>
      <c r="CC332" s="120"/>
      <c r="CD332" s="120"/>
      <c r="CE332" s="120"/>
      <c r="CF332" s="120"/>
      <c r="CG332" s="120"/>
      <c r="CH332" s="120"/>
      <c r="CI332" s="120"/>
      <c r="CJ332" s="120"/>
      <c r="CK332" s="120"/>
      <c r="CL332" s="120"/>
      <c r="CM332" s="120"/>
      <c r="CN332" s="120"/>
      <c r="CO332" s="120"/>
      <c r="CP332" s="120"/>
      <c r="CQ332" s="120"/>
      <c r="CR332" s="120"/>
      <c r="CS332" s="120"/>
      <c r="CT332" s="120"/>
      <c r="CU332" s="120"/>
      <c r="CV332" s="120"/>
      <c r="CW332" s="120"/>
      <c r="CX332" s="120"/>
      <c r="CY332" s="120"/>
      <c r="CZ332" s="120"/>
      <c r="DA332" s="120"/>
      <c r="DB332" s="120"/>
      <c r="DC332" s="120"/>
      <c r="DD332" s="120"/>
      <c r="DE332" s="120"/>
      <c r="DF332" s="120"/>
      <c r="DG332" s="120"/>
      <c r="DH332" s="120"/>
      <c r="DI332" s="120"/>
      <c r="DJ332" s="120"/>
      <c r="DK332" s="120"/>
      <c r="DL332" s="120"/>
      <c r="DM332" s="120"/>
      <c r="DN332" s="120"/>
      <c r="DO332" s="120"/>
      <c r="DP332" s="120"/>
      <c r="DQ332" s="120"/>
      <c r="DR332" s="120"/>
      <c r="DS332" s="120"/>
      <c r="DT332" s="120"/>
      <c r="DU332" s="120"/>
      <c r="DV332" s="120"/>
      <c r="DW332" s="120"/>
      <c r="DX332" s="120"/>
      <c r="DY332" s="120"/>
      <c r="DZ332" s="120"/>
      <c r="EA332" s="120"/>
      <c r="EB332" s="120"/>
      <c r="EC332" s="120"/>
      <c r="ED332" s="120"/>
      <c r="EE332" s="120"/>
      <c r="EF332" s="120"/>
      <c r="EG332" s="120"/>
      <c r="EH332" s="120"/>
      <c r="EI332" s="120"/>
      <c r="EJ332" s="120"/>
      <c r="EK332" s="120"/>
      <c r="EL332" s="120"/>
      <c r="EM332" s="120"/>
      <c r="EN332" s="120"/>
      <c r="EO332" s="120"/>
      <c r="EP332" s="120"/>
      <c r="EQ332" s="120"/>
      <c r="ER332" s="120"/>
      <c r="ES332" s="120"/>
      <c r="ET332" s="120"/>
      <c r="EU332" s="120"/>
      <c r="EV332" s="120"/>
      <c r="EW332" s="120"/>
      <c r="EX332" s="120"/>
      <c r="EY332" s="120"/>
      <c r="EZ332" s="120"/>
      <c r="FA332" s="120"/>
      <c r="FB332" s="120"/>
      <c r="FC332" s="120"/>
      <c r="FD332" s="120"/>
      <c r="FE332" s="120"/>
      <c r="FF332" s="120"/>
      <c r="FG332" s="120"/>
      <c r="FH332" s="120"/>
      <c r="FI332" s="120"/>
      <c r="FJ332" s="120"/>
      <c r="FK332" s="120"/>
      <c r="FL332" s="120"/>
      <c r="FM332" s="120"/>
      <c r="FN332" s="120"/>
      <c r="FO332" s="120"/>
      <c r="FP332" s="120"/>
      <c r="FQ332" s="120"/>
      <c r="FR332" s="120"/>
      <c r="FS332" s="120"/>
      <c r="FT332" s="120"/>
      <c r="FU332" s="120"/>
      <c r="FV332" s="120"/>
      <c r="FW332" s="120"/>
      <c r="FX332" s="120"/>
      <c r="FY332" s="120"/>
      <c r="FZ332" s="120"/>
      <c r="GA332" s="120"/>
      <c r="GB332" s="120"/>
      <c r="GC332" s="120"/>
      <c r="GD332" s="120"/>
      <c r="GE332" s="120"/>
      <c r="GF332" s="120"/>
      <c r="GG332" s="120"/>
      <c r="GH332" s="120"/>
      <c r="GI332" s="120"/>
      <c r="GJ332" s="120"/>
      <c r="GK332" s="120"/>
      <c r="GL332" s="120"/>
      <c r="GM332" s="120"/>
      <c r="GN332" s="120"/>
      <c r="GO332" s="120"/>
      <c r="GP332" s="120"/>
      <c r="GQ332" s="120"/>
      <c r="GR332" s="120"/>
      <c r="GS332" s="120"/>
      <c r="GT332" s="120"/>
      <c r="GU332" s="120"/>
      <c r="GV332" s="120"/>
      <c r="GW332" s="120"/>
      <c r="GX332" s="120"/>
      <c r="GY332" s="120"/>
      <c r="GZ332" s="120"/>
      <c r="HA332" s="120"/>
      <c r="HB332" s="120"/>
      <c r="HC332" s="120"/>
      <c r="HD332" s="120"/>
      <c r="HE332" s="120"/>
      <c r="HF332" s="120"/>
      <c r="HG332" s="120"/>
      <c r="HH332" s="120"/>
      <c r="HI332" s="120"/>
      <c r="HJ332" s="120"/>
      <c r="HK332" s="120"/>
      <c r="HL332" s="120"/>
      <c r="HM332" s="120"/>
      <c r="HN332" s="120"/>
      <c r="HO332" s="120"/>
      <c r="HP332" s="120"/>
      <c r="HQ332" s="120"/>
      <c r="HR332" s="120"/>
      <c r="HS332" s="120"/>
      <c r="HT332" s="120"/>
      <c r="HU332" s="120"/>
      <c r="HV332" s="120"/>
      <c r="HW332" s="120"/>
      <c r="HX332" s="120"/>
      <c r="HY332" s="120"/>
      <c r="HZ332" s="120"/>
      <c r="IA332" s="120"/>
      <c r="IB332" s="120"/>
      <c r="IC332" s="120"/>
      <c r="ID332" s="120"/>
      <c r="IE332" s="120"/>
      <c r="IF332" s="120"/>
      <c r="IG332" s="120"/>
      <c r="IH332" s="120"/>
      <c r="II332" s="120"/>
      <c r="IJ332" s="120"/>
      <c r="IK332" s="120"/>
      <c r="IL332" s="120"/>
      <c r="IM332" s="120"/>
    </row>
    <row r="333" spans="2:247" ht="147" customHeight="1" x14ac:dyDescent="0.25">
      <c r="B333" s="306" t="s">
        <v>125</v>
      </c>
      <c r="C333" s="50" t="s">
        <v>52</v>
      </c>
      <c r="D333" s="310">
        <v>24</v>
      </c>
      <c r="E333" s="309">
        <f>47/152*100</f>
        <v>30.921052631578949</v>
      </c>
      <c r="F333" s="64" t="str">
        <f t="shared" si="9"/>
        <v>100</v>
      </c>
      <c r="G333" s="688"/>
      <c r="H333" s="443" t="s">
        <v>1217</v>
      </c>
      <c r="I333" s="718"/>
      <c r="J333" s="718"/>
      <c r="K333" s="718"/>
      <c r="L333" s="718"/>
      <c r="M333" s="718"/>
      <c r="N333" s="718"/>
      <c r="O333" s="718"/>
      <c r="P333" s="718"/>
      <c r="Q333" s="718"/>
      <c r="R333" s="718"/>
      <c r="S333" s="718"/>
      <c r="T333" s="718"/>
      <c r="U333" s="718"/>
      <c r="V333" s="718"/>
      <c r="W333" s="718"/>
      <c r="X333" s="718"/>
      <c r="Y333" s="718"/>
      <c r="Z333" s="718"/>
      <c r="AA333" s="718"/>
      <c r="AB333" s="718"/>
      <c r="AC333" s="718"/>
      <c r="AD333" s="718"/>
      <c r="AE333" s="718"/>
      <c r="AF333" s="718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20"/>
      <c r="AV333" s="120"/>
      <c r="AW333" s="120"/>
      <c r="AX333" s="120"/>
      <c r="AY333" s="120"/>
      <c r="AZ333" s="120"/>
      <c r="BA333" s="120"/>
      <c r="BB333" s="120"/>
      <c r="BC333" s="120"/>
      <c r="BD333" s="120"/>
      <c r="BE333" s="120"/>
      <c r="BF333" s="120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20"/>
      <c r="BS333" s="120"/>
      <c r="BT333" s="120"/>
      <c r="BU333" s="120"/>
      <c r="BV333" s="120"/>
      <c r="BW333" s="120"/>
      <c r="BX333" s="120"/>
      <c r="BY333" s="120"/>
      <c r="BZ333" s="120"/>
      <c r="CA333" s="120"/>
      <c r="CB333" s="120"/>
      <c r="CC333" s="120"/>
      <c r="CD333" s="120"/>
      <c r="CE333" s="120"/>
      <c r="CF333" s="120"/>
      <c r="CG333" s="120"/>
      <c r="CH333" s="120"/>
      <c r="CI333" s="120"/>
      <c r="CJ333" s="120"/>
      <c r="CK333" s="120"/>
      <c r="CL333" s="120"/>
      <c r="CM333" s="120"/>
      <c r="CN333" s="120"/>
      <c r="CO333" s="120"/>
      <c r="CP333" s="120"/>
      <c r="CQ333" s="120"/>
      <c r="CR333" s="120"/>
      <c r="CS333" s="120"/>
      <c r="CT333" s="120"/>
      <c r="CU333" s="120"/>
      <c r="CV333" s="120"/>
      <c r="CW333" s="120"/>
      <c r="CX333" s="120"/>
      <c r="CY333" s="120"/>
      <c r="CZ333" s="120"/>
      <c r="DA333" s="120"/>
      <c r="DB333" s="120"/>
      <c r="DC333" s="120"/>
      <c r="DD333" s="120"/>
      <c r="DE333" s="120"/>
      <c r="DF333" s="120"/>
      <c r="DG333" s="120"/>
      <c r="DH333" s="120"/>
      <c r="DI333" s="120"/>
      <c r="DJ333" s="120"/>
      <c r="DK333" s="120"/>
      <c r="DL333" s="120"/>
      <c r="DM333" s="120"/>
      <c r="DN333" s="120"/>
      <c r="DO333" s="120"/>
      <c r="DP333" s="120"/>
      <c r="DQ333" s="120"/>
      <c r="DR333" s="120"/>
      <c r="DS333" s="120"/>
      <c r="DT333" s="120"/>
      <c r="DU333" s="120"/>
      <c r="DV333" s="120"/>
      <c r="DW333" s="120"/>
      <c r="DX333" s="120"/>
      <c r="DY333" s="120"/>
      <c r="DZ333" s="120"/>
      <c r="EA333" s="120"/>
      <c r="EB333" s="120"/>
      <c r="EC333" s="120"/>
      <c r="ED333" s="120"/>
      <c r="EE333" s="120"/>
      <c r="EF333" s="120"/>
      <c r="EG333" s="120"/>
      <c r="EH333" s="120"/>
      <c r="EI333" s="120"/>
      <c r="EJ333" s="120"/>
      <c r="EK333" s="120"/>
      <c r="EL333" s="120"/>
      <c r="EM333" s="120"/>
      <c r="EN333" s="120"/>
      <c r="EO333" s="120"/>
      <c r="EP333" s="120"/>
      <c r="EQ333" s="120"/>
      <c r="ER333" s="120"/>
      <c r="ES333" s="120"/>
      <c r="ET333" s="120"/>
      <c r="EU333" s="120"/>
      <c r="EV333" s="120"/>
      <c r="EW333" s="120"/>
      <c r="EX333" s="120"/>
      <c r="EY333" s="120"/>
      <c r="EZ333" s="120"/>
      <c r="FA333" s="120"/>
      <c r="FB333" s="120"/>
      <c r="FC333" s="120"/>
      <c r="FD333" s="120"/>
      <c r="FE333" s="120"/>
      <c r="FF333" s="120"/>
      <c r="FG333" s="120"/>
      <c r="FH333" s="120"/>
      <c r="FI333" s="120"/>
      <c r="FJ333" s="120"/>
      <c r="FK333" s="120"/>
      <c r="FL333" s="120"/>
      <c r="FM333" s="120"/>
      <c r="FN333" s="120"/>
      <c r="FO333" s="120"/>
      <c r="FP333" s="120"/>
      <c r="FQ333" s="120"/>
      <c r="FR333" s="120"/>
      <c r="FS333" s="120"/>
      <c r="FT333" s="120"/>
      <c r="FU333" s="120"/>
      <c r="FV333" s="120"/>
      <c r="FW333" s="120"/>
      <c r="FX333" s="120"/>
      <c r="FY333" s="120"/>
      <c r="FZ333" s="120"/>
      <c r="GA333" s="120"/>
      <c r="GB333" s="120"/>
      <c r="GC333" s="120"/>
      <c r="GD333" s="120"/>
      <c r="GE333" s="120"/>
      <c r="GF333" s="120"/>
      <c r="GG333" s="120"/>
      <c r="GH333" s="120"/>
      <c r="GI333" s="120"/>
      <c r="GJ333" s="120"/>
      <c r="GK333" s="120"/>
      <c r="GL333" s="120"/>
      <c r="GM333" s="120"/>
      <c r="GN333" s="120"/>
      <c r="GO333" s="120"/>
      <c r="GP333" s="120"/>
      <c r="GQ333" s="120"/>
      <c r="GR333" s="120"/>
      <c r="GS333" s="120"/>
      <c r="GT333" s="120"/>
      <c r="GU333" s="120"/>
      <c r="GV333" s="120"/>
      <c r="GW333" s="120"/>
      <c r="GX333" s="120"/>
      <c r="GY333" s="120"/>
      <c r="GZ333" s="120"/>
      <c r="HA333" s="120"/>
      <c r="HB333" s="120"/>
      <c r="HC333" s="120"/>
      <c r="HD333" s="120"/>
      <c r="HE333" s="120"/>
      <c r="HF333" s="120"/>
      <c r="HG333" s="120"/>
      <c r="HH333" s="120"/>
      <c r="HI333" s="120"/>
      <c r="HJ333" s="120"/>
      <c r="HK333" s="120"/>
      <c r="HL333" s="120"/>
      <c r="HM333" s="120"/>
      <c r="HN333" s="120"/>
      <c r="HO333" s="120"/>
      <c r="HP333" s="120"/>
      <c r="HQ333" s="120"/>
      <c r="HR333" s="120"/>
      <c r="HS333" s="120"/>
      <c r="HT333" s="120"/>
      <c r="HU333" s="120"/>
      <c r="HV333" s="120"/>
      <c r="HW333" s="120"/>
      <c r="HX333" s="120"/>
      <c r="HY333" s="120"/>
      <c r="HZ333" s="120"/>
      <c r="IA333" s="120"/>
      <c r="IB333" s="120"/>
      <c r="IC333" s="120"/>
      <c r="ID333" s="120"/>
      <c r="IE333" s="120"/>
      <c r="IF333" s="120"/>
      <c r="IG333" s="120"/>
      <c r="IH333" s="120"/>
      <c r="II333" s="120"/>
      <c r="IJ333" s="120"/>
      <c r="IK333" s="120"/>
      <c r="IL333" s="120"/>
      <c r="IM333" s="120"/>
    </row>
    <row r="334" spans="2:247" ht="51.75" customHeight="1" x14ac:dyDescent="0.25">
      <c r="B334" s="306" t="s">
        <v>126</v>
      </c>
      <c r="C334" s="50" t="s">
        <v>52</v>
      </c>
      <c r="D334" s="90">
        <v>25</v>
      </c>
      <c r="E334" s="90">
        <f>47/47*100</f>
        <v>100</v>
      </c>
      <c r="F334" s="64" t="str">
        <f t="shared" si="9"/>
        <v>100</v>
      </c>
      <c r="G334" s="688"/>
      <c r="H334" s="443" t="s">
        <v>1218</v>
      </c>
      <c r="I334" s="718"/>
      <c r="J334" s="718"/>
      <c r="K334" s="718"/>
      <c r="L334" s="718"/>
      <c r="M334" s="718"/>
      <c r="N334" s="718"/>
      <c r="O334" s="718"/>
      <c r="P334" s="718"/>
      <c r="Q334" s="718"/>
      <c r="R334" s="718"/>
      <c r="S334" s="718"/>
      <c r="T334" s="718"/>
      <c r="U334" s="718"/>
      <c r="V334" s="718"/>
      <c r="W334" s="718"/>
      <c r="X334" s="718"/>
      <c r="Y334" s="718"/>
      <c r="Z334" s="718"/>
      <c r="AA334" s="718"/>
      <c r="AB334" s="718"/>
      <c r="AC334" s="718"/>
      <c r="AD334" s="718"/>
      <c r="AE334" s="718"/>
      <c r="AF334" s="718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20"/>
      <c r="AV334" s="120"/>
      <c r="AW334" s="120"/>
      <c r="AX334" s="120"/>
      <c r="AY334" s="120"/>
      <c r="AZ334" s="120"/>
      <c r="BA334" s="120"/>
      <c r="BB334" s="120"/>
      <c r="BC334" s="120"/>
      <c r="BD334" s="120"/>
      <c r="BE334" s="120"/>
      <c r="BF334" s="120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20"/>
      <c r="BS334" s="120"/>
      <c r="BT334" s="120"/>
      <c r="BU334" s="120"/>
      <c r="BV334" s="120"/>
      <c r="BW334" s="120"/>
      <c r="BX334" s="120"/>
      <c r="BY334" s="120"/>
      <c r="BZ334" s="120"/>
      <c r="CA334" s="120"/>
      <c r="CB334" s="120"/>
      <c r="CC334" s="120"/>
      <c r="CD334" s="120"/>
      <c r="CE334" s="120"/>
      <c r="CF334" s="120"/>
      <c r="CG334" s="120"/>
      <c r="CH334" s="120"/>
      <c r="CI334" s="120"/>
      <c r="CJ334" s="120"/>
      <c r="CK334" s="120"/>
      <c r="CL334" s="120"/>
      <c r="CM334" s="120"/>
      <c r="CN334" s="120"/>
      <c r="CO334" s="120"/>
      <c r="CP334" s="120"/>
      <c r="CQ334" s="120"/>
      <c r="CR334" s="120"/>
      <c r="CS334" s="120"/>
      <c r="CT334" s="120"/>
      <c r="CU334" s="120"/>
      <c r="CV334" s="120"/>
      <c r="CW334" s="120"/>
      <c r="CX334" s="120"/>
      <c r="CY334" s="120"/>
      <c r="CZ334" s="120"/>
      <c r="DA334" s="120"/>
      <c r="DB334" s="120"/>
      <c r="DC334" s="120"/>
      <c r="DD334" s="120"/>
      <c r="DE334" s="120"/>
      <c r="DF334" s="120"/>
      <c r="DG334" s="120"/>
      <c r="DH334" s="120"/>
      <c r="DI334" s="120"/>
      <c r="DJ334" s="120"/>
      <c r="DK334" s="120"/>
      <c r="DL334" s="120"/>
      <c r="DM334" s="120"/>
      <c r="DN334" s="120"/>
      <c r="DO334" s="120"/>
      <c r="DP334" s="120"/>
      <c r="DQ334" s="120"/>
      <c r="DR334" s="120"/>
      <c r="DS334" s="120"/>
      <c r="DT334" s="120"/>
      <c r="DU334" s="120"/>
      <c r="DV334" s="120"/>
      <c r="DW334" s="120"/>
      <c r="DX334" s="120"/>
      <c r="DY334" s="120"/>
      <c r="DZ334" s="120"/>
      <c r="EA334" s="120"/>
      <c r="EB334" s="120"/>
      <c r="EC334" s="120"/>
      <c r="ED334" s="120"/>
      <c r="EE334" s="120"/>
      <c r="EF334" s="120"/>
      <c r="EG334" s="120"/>
      <c r="EH334" s="120"/>
      <c r="EI334" s="120"/>
      <c r="EJ334" s="120"/>
      <c r="EK334" s="120"/>
      <c r="EL334" s="120"/>
      <c r="EM334" s="120"/>
      <c r="EN334" s="120"/>
      <c r="EO334" s="120"/>
      <c r="EP334" s="120"/>
      <c r="EQ334" s="120"/>
      <c r="ER334" s="120"/>
      <c r="ES334" s="120"/>
      <c r="ET334" s="120"/>
      <c r="EU334" s="120"/>
      <c r="EV334" s="120"/>
      <c r="EW334" s="120"/>
      <c r="EX334" s="120"/>
      <c r="EY334" s="120"/>
      <c r="EZ334" s="120"/>
      <c r="FA334" s="120"/>
      <c r="FB334" s="120"/>
      <c r="FC334" s="120"/>
      <c r="FD334" s="120"/>
      <c r="FE334" s="120"/>
      <c r="FF334" s="120"/>
      <c r="FG334" s="120"/>
      <c r="FH334" s="120"/>
      <c r="FI334" s="120"/>
      <c r="FJ334" s="120"/>
      <c r="FK334" s="120"/>
      <c r="FL334" s="120"/>
      <c r="FM334" s="120"/>
      <c r="FN334" s="120"/>
      <c r="FO334" s="120"/>
      <c r="FP334" s="120"/>
      <c r="FQ334" s="120"/>
      <c r="FR334" s="120"/>
      <c r="FS334" s="120"/>
      <c r="FT334" s="120"/>
      <c r="FU334" s="120"/>
      <c r="FV334" s="120"/>
      <c r="FW334" s="120"/>
      <c r="FX334" s="120"/>
      <c r="FY334" s="120"/>
      <c r="FZ334" s="120"/>
      <c r="GA334" s="120"/>
      <c r="GB334" s="120"/>
      <c r="GC334" s="120"/>
      <c r="GD334" s="120"/>
      <c r="GE334" s="120"/>
      <c r="GF334" s="120"/>
      <c r="GG334" s="120"/>
      <c r="GH334" s="120"/>
      <c r="GI334" s="120"/>
      <c r="GJ334" s="120"/>
      <c r="GK334" s="120"/>
      <c r="GL334" s="120"/>
      <c r="GM334" s="120"/>
      <c r="GN334" s="120"/>
      <c r="GO334" s="120"/>
      <c r="GP334" s="120"/>
      <c r="GQ334" s="120"/>
      <c r="GR334" s="120"/>
      <c r="GS334" s="120"/>
      <c r="GT334" s="120"/>
      <c r="GU334" s="120"/>
      <c r="GV334" s="120"/>
      <c r="GW334" s="120"/>
      <c r="GX334" s="120"/>
      <c r="GY334" s="120"/>
      <c r="GZ334" s="120"/>
      <c r="HA334" s="120"/>
      <c r="HB334" s="120"/>
      <c r="HC334" s="120"/>
      <c r="HD334" s="120"/>
      <c r="HE334" s="120"/>
      <c r="HF334" s="120"/>
      <c r="HG334" s="120"/>
      <c r="HH334" s="120"/>
      <c r="HI334" s="120"/>
      <c r="HJ334" s="120"/>
      <c r="HK334" s="120"/>
      <c r="HL334" s="120"/>
      <c r="HM334" s="120"/>
      <c r="HN334" s="120"/>
      <c r="HO334" s="120"/>
      <c r="HP334" s="120"/>
      <c r="HQ334" s="120"/>
      <c r="HR334" s="120"/>
      <c r="HS334" s="120"/>
      <c r="HT334" s="120"/>
      <c r="HU334" s="120"/>
      <c r="HV334" s="120"/>
      <c r="HW334" s="120"/>
      <c r="HX334" s="120"/>
      <c r="HY334" s="120"/>
      <c r="HZ334" s="120"/>
      <c r="IA334" s="120"/>
      <c r="IB334" s="120"/>
      <c r="IC334" s="120"/>
      <c r="ID334" s="120"/>
      <c r="IE334" s="120"/>
      <c r="IF334" s="120"/>
      <c r="IG334" s="120"/>
      <c r="IH334" s="120"/>
      <c r="II334" s="120"/>
      <c r="IJ334" s="120"/>
      <c r="IK334" s="120"/>
      <c r="IL334" s="120"/>
      <c r="IM334" s="120"/>
    </row>
    <row r="335" spans="2:247" ht="115.5" customHeight="1" x14ac:dyDescent="0.25">
      <c r="B335" s="306" t="s">
        <v>127</v>
      </c>
      <c r="C335" s="50" t="s">
        <v>52</v>
      </c>
      <c r="D335" s="90">
        <v>20</v>
      </c>
      <c r="E335" s="90">
        <f>134/572*100</f>
        <v>23.426573426573427</v>
      </c>
      <c r="F335" s="64" t="str">
        <f t="shared" si="9"/>
        <v>100</v>
      </c>
      <c r="G335" s="688"/>
      <c r="H335" s="443" t="s">
        <v>1219</v>
      </c>
      <c r="I335" s="718"/>
      <c r="J335" s="718"/>
      <c r="K335" s="718"/>
      <c r="L335" s="718"/>
      <c r="M335" s="718"/>
      <c r="N335" s="718"/>
      <c r="O335" s="718"/>
      <c r="P335" s="718"/>
      <c r="Q335" s="718"/>
      <c r="R335" s="718"/>
      <c r="S335" s="718"/>
      <c r="T335" s="718"/>
      <c r="U335" s="718"/>
      <c r="V335" s="718"/>
      <c r="W335" s="718"/>
      <c r="X335" s="718"/>
      <c r="Y335" s="718"/>
      <c r="Z335" s="718"/>
      <c r="AA335" s="718"/>
      <c r="AB335" s="718"/>
      <c r="AC335" s="718"/>
      <c r="AD335" s="718"/>
      <c r="AE335" s="718"/>
      <c r="AF335" s="718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20"/>
      <c r="AV335" s="120"/>
      <c r="AW335" s="120"/>
      <c r="AX335" s="120"/>
      <c r="AY335" s="120"/>
      <c r="AZ335" s="120"/>
      <c r="BA335" s="120"/>
      <c r="BB335" s="120"/>
      <c r="BC335" s="120"/>
      <c r="BD335" s="120"/>
      <c r="BE335" s="120"/>
      <c r="BF335" s="120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20"/>
      <c r="BS335" s="120"/>
      <c r="BT335" s="120"/>
      <c r="BU335" s="120"/>
      <c r="BV335" s="120"/>
      <c r="BW335" s="120"/>
      <c r="BX335" s="120"/>
      <c r="BY335" s="120"/>
      <c r="BZ335" s="120"/>
      <c r="CA335" s="120"/>
      <c r="CB335" s="120"/>
      <c r="CC335" s="120"/>
      <c r="CD335" s="120"/>
      <c r="CE335" s="120"/>
      <c r="CF335" s="120"/>
      <c r="CG335" s="120"/>
      <c r="CH335" s="120"/>
      <c r="CI335" s="120"/>
      <c r="CJ335" s="120"/>
      <c r="CK335" s="120"/>
      <c r="CL335" s="120"/>
      <c r="CM335" s="120"/>
      <c r="CN335" s="120"/>
      <c r="CO335" s="120"/>
      <c r="CP335" s="120"/>
      <c r="CQ335" s="120"/>
      <c r="CR335" s="120"/>
      <c r="CS335" s="120"/>
      <c r="CT335" s="120"/>
      <c r="CU335" s="120"/>
      <c r="CV335" s="120"/>
      <c r="CW335" s="120"/>
      <c r="CX335" s="120"/>
      <c r="CY335" s="120"/>
      <c r="CZ335" s="120"/>
      <c r="DA335" s="120"/>
      <c r="DB335" s="120"/>
      <c r="DC335" s="120"/>
      <c r="DD335" s="120"/>
      <c r="DE335" s="120"/>
      <c r="DF335" s="120"/>
      <c r="DG335" s="120"/>
      <c r="DH335" s="120"/>
      <c r="DI335" s="120"/>
      <c r="DJ335" s="120"/>
      <c r="DK335" s="120"/>
      <c r="DL335" s="120"/>
      <c r="DM335" s="120"/>
      <c r="DN335" s="120"/>
      <c r="DO335" s="120"/>
      <c r="DP335" s="120"/>
      <c r="DQ335" s="120"/>
      <c r="DR335" s="120"/>
      <c r="DS335" s="120"/>
      <c r="DT335" s="120"/>
      <c r="DU335" s="120"/>
      <c r="DV335" s="120"/>
      <c r="DW335" s="120"/>
      <c r="DX335" s="120"/>
      <c r="DY335" s="120"/>
      <c r="DZ335" s="120"/>
      <c r="EA335" s="120"/>
      <c r="EB335" s="120"/>
      <c r="EC335" s="120"/>
      <c r="ED335" s="120"/>
      <c r="EE335" s="120"/>
      <c r="EF335" s="120"/>
      <c r="EG335" s="120"/>
      <c r="EH335" s="120"/>
      <c r="EI335" s="120"/>
      <c r="EJ335" s="120"/>
      <c r="EK335" s="120"/>
      <c r="EL335" s="120"/>
      <c r="EM335" s="120"/>
      <c r="EN335" s="120"/>
      <c r="EO335" s="120"/>
      <c r="EP335" s="120"/>
      <c r="EQ335" s="120"/>
      <c r="ER335" s="120"/>
      <c r="ES335" s="120"/>
      <c r="ET335" s="120"/>
      <c r="EU335" s="120"/>
      <c r="EV335" s="120"/>
      <c r="EW335" s="120"/>
      <c r="EX335" s="120"/>
      <c r="EY335" s="120"/>
      <c r="EZ335" s="120"/>
      <c r="FA335" s="120"/>
      <c r="FB335" s="120"/>
      <c r="FC335" s="120"/>
      <c r="FD335" s="120"/>
      <c r="FE335" s="120"/>
      <c r="FF335" s="120"/>
      <c r="FG335" s="120"/>
      <c r="FH335" s="120"/>
      <c r="FI335" s="120"/>
      <c r="FJ335" s="120"/>
      <c r="FK335" s="120"/>
      <c r="FL335" s="120"/>
      <c r="FM335" s="120"/>
      <c r="FN335" s="120"/>
      <c r="FO335" s="120"/>
      <c r="FP335" s="120"/>
      <c r="FQ335" s="120"/>
      <c r="FR335" s="120"/>
      <c r="FS335" s="120"/>
      <c r="FT335" s="120"/>
      <c r="FU335" s="120"/>
      <c r="FV335" s="120"/>
      <c r="FW335" s="120"/>
      <c r="FX335" s="120"/>
      <c r="FY335" s="120"/>
      <c r="FZ335" s="120"/>
      <c r="GA335" s="120"/>
      <c r="GB335" s="120"/>
      <c r="GC335" s="120"/>
      <c r="GD335" s="120"/>
      <c r="GE335" s="120"/>
      <c r="GF335" s="120"/>
      <c r="GG335" s="120"/>
      <c r="GH335" s="120"/>
      <c r="GI335" s="120"/>
      <c r="GJ335" s="120"/>
      <c r="GK335" s="120"/>
      <c r="GL335" s="120"/>
      <c r="GM335" s="120"/>
      <c r="GN335" s="120"/>
      <c r="GO335" s="120"/>
      <c r="GP335" s="120"/>
      <c r="GQ335" s="120"/>
      <c r="GR335" s="120"/>
      <c r="GS335" s="120"/>
      <c r="GT335" s="120"/>
      <c r="GU335" s="120"/>
      <c r="GV335" s="120"/>
      <c r="GW335" s="120"/>
      <c r="GX335" s="120"/>
      <c r="GY335" s="120"/>
      <c r="GZ335" s="120"/>
      <c r="HA335" s="120"/>
      <c r="HB335" s="120"/>
      <c r="HC335" s="120"/>
      <c r="HD335" s="120"/>
      <c r="HE335" s="120"/>
      <c r="HF335" s="120"/>
      <c r="HG335" s="120"/>
      <c r="HH335" s="120"/>
      <c r="HI335" s="120"/>
      <c r="HJ335" s="120"/>
      <c r="HK335" s="120"/>
      <c r="HL335" s="120"/>
      <c r="HM335" s="120"/>
      <c r="HN335" s="120"/>
      <c r="HO335" s="120"/>
      <c r="HP335" s="120"/>
      <c r="HQ335" s="120"/>
      <c r="HR335" s="120"/>
      <c r="HS335" s="120"/>
      <c r="HT335" s="120"/>
      <c r="HU335" s="120"/>
      <c r="HV335" s="120"/>
      <c r="HW335" s="120"/>
      <c r="HX335" s="120"/>
      <c r="HY335" s="120"/>
      <c r="HZ335" s="120"/>
      <c r="IA335" s="120"/>
      <c r="IB335" s="120"/>
      <c r="IC335" s="120"/>
      <c r="ID335" s="120"/>
      <c r="IE335" s="120"/>
      <c r="IF335" s="120"/>
      <c r="IG335" s="120"/>
      <c r="IH335" s="120"/>
      <c r="II335" s="120"/>
      <c r="IJ335" s="120"/>
      <c r="IK335" s="120"/>
      <c r="IL335" s="120"/>
      <c r="IM335" s="120"/>
    </row>
    <row r="336" spans="2:247" ht="99" customHeight="1" x14ac:dyDescent="0.25">
      <c r="B336" s="302" t="s">
        <v>128</v>
      </c>
      <c r="C336" s="50" t="s">
        <v>52</v>
      </c>
      <c r="D336" s="444">
        <v>2</v>
      </c>
      <c r="E336" s="445">
        <f>14/891*100</f>
        <v>1.5712682379349048</v>
      </c>
      <c r="F336" s="64">
        <f t="shared" si="9"/>
        <v>78.563411896745237</v>
      </c>
      <c r="G336" s="688"/>
      <c r="H336" s="423" t="s">
        <v>1220</v>
      </c>
      <c r="I336" s="718"/>
      <c r="J336" s="718"/>
      <c r="K336" s="718"/>
      <c r="L336" s="718"/>
      <c r="M336" s="718"/>
      <c r="N336" s="718"/>
      <c r="O336" s="718"/>
      <c r="P336" s="718"/>
      <c r="Q336" s="718"/>
      <c r="R336" s="718"/>
      <c r="S336" s="718"/>
      <c r="T336" s="718"/>
      <c r="U336" s="718"/>
      <c r="V336" s="718"/>
      <c r="W336" s="718"/>
      <c r="X336" s="718"/>
      <c r="Y336" s="718"/>
      <c r="Z336" s="718"/>
      <c r="AA336" s="718"/>
      <c r="AB336" s="718"/>
      <c r="AC336" s="718"/>
      <c r="AD336" s="718"/>
      <c r="AE336" s="718"/>
      <c r="AF336" s="718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20"/>
      <c r="AV336" s="120"/>
      <c r="AW336" s="120"/>
      <c r="AX336" s="120"/>
      <c r="AY336" s="120"/>
      <c r="AZ336" s="120"/>
      <c r="BA336" s="120"/>
      <c r="BB336" s="120"/>
      <c r="BC336" s="120"/>
      <c r="BD336" s="120"/>
      <c r="BE336" s="120"/>
      <c r="BF336" s="120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20"/>
      <c r="BS336" s="120"/>
      <c r="BT336" s="120"/>
      <c r="BU336" s="120"/>
      <c r="BV336" s="120"/>
      <c r="BW336" s="120"/>
      <c r="BX336" s="120"/>
      <c r="BY336" s="120"/>
      <c r="BZ336" s="120"/>
      <c r="CA336" s="120"/>
      <c r="CB336" s="120"/>
      <c r="CC336" s="120"/>
      <c r="CD336" s="120"/>
      <c r="CE336" s="120"/>
      <c r="CF336" s="120"/>
      <c r="CG336" s="120"/>
      <c r="CH336" s="120"/>
      <c r="CI336" s="120"/>
      <c r="CJ336" s="120"/>
      <c r="CK336" s="120"/>
      <c r="CL336" s="120"/>
      <c r="CM336" s="120"/>
      <c r="CN336" s="120"/>
      <c r="CO336" s="120"/>
      <c r="CP336" s="120"/>
      <c r="CQ336" s="120"/>
      <c r="CR336" s="120"/>
      <c r="CS336" s="120"/>
      <c r="CT336" s="120"/>
      <c r="CU336" s="120"/>
      <c r="CV336" s="120"/>
      <c r="CW336" s="120"/>
      <c r="CX336" s="120"/>
      <c r="CY336" s="120"/>
      <c r="CZ336" s="120"/>
      <c r="DA336" s="120"/>
      <c r="DB336" s="120"/>
      <c r="DC336" s="120"/>
      <c r="DD336" s="120"/>
      <c r="DE336" s="120"/>
      <c r="DF336" s="120"/>
      <c r="DG336" s="120"/>
      <c r="DH336" s="120"/>
      <c r="DI336" s="120"/>
      <c r="DJ336" s="120"/>
      <c r="DK336" s="120"/>
      <c r="DL336" s="120"/>
      <c r="DM336" s="120"/>
      <c r="DN336" s="120"/>
      <c r="DO336" s="120"/>
      <c r="DP336" s="120"/>
      <c r="DQ336" s="120"/>
      <c r="DR336" s="120"/>
      <c r="DS336" s="120"/>
      <c r="DT336" s="120"/>
      <c r="DU336" s="120"/>
      <c r="DV336" s="120"/>
      <c r="DW336" s="120"/>
      <c r="DX336" s="120"/>
      <c r="DY336" s="120"/>
      <c r="DZ336" s="120"/>
      <c r="EA336" s="120"/>
      <c r="EB336" s="120"/>
      <c r="EC336" s="120"/>
      <c r="ED336" s="120"/>
      <c r="EE336" s="120"/>
      <c r="EF336" s="120"/>
      <c r="EG336" s="120"/>
      <c r="EH336" s="120"/>
      <c r="EI336" s="120"/>
      <c r="EJ336" s="120"/>
      <c r="EK336" s="120"/>
      <c r="EL336" s="120"/>
      <c r="EM336" s="120"/>
      <c r="EN336" s="120"/>
      <c r="EO336" s="120"/>
      <c r="EP336" s="120"/>
      <c r="EQ336" s="120"/>
      <c r="ER336" s="120"/>
      <c r="ES336" s="120"/>
      <c r="ET336" s="120"/>
      <c r="EU336" s="120"/>
      <c r="EV336" s="120"/>
      <c r="EW336" s="120"/>
      <c r="EX336" s="120"/>
      <c r="EY336" s="120"/>
      <c r="EZ336" s="120"/>
      <c r="FA336" s="120"/>
      <c r="FB336" s="120"/>
      <c r="FC336" s="120"/>
      <c r="FD336" s="120"/>
      <c r="FE336" s="120"/>
      <c r="FF336" s="120"/>
      <c r="FG336" s="120"/>
      <c r="FH336" s="120"/>
      <c r="FI336" s="120"/>
      <c r="FJ336" s="120"/>
      <c r="FK336" s="120"/>
      <c r="FL336" s="120"/>
      <c r="FM336" s="120"/>
      <c r="FN336" s="120"/>
      <c r="FO336" s="120"/>
      <c r="FP336" s="120"/>
      <c r="FQ336" s="120"/>
      <c r="FR336" s="120"/>
      <c r="FS336" s="120"/>
      <c r="FT336" s="120"/>
      <c r="FU336" s="120"/>
      <c r="FV336" s="120"/>
      <c r="FW336" s="120"/>
      <c r="FX336" s="120"/>
      <c r="FY336" s="120"/>
      <c r="FZ336" s="120"/>
      <c r="GA336" s="120"/>
      <c r="GB336" s="120"/>
      <c r="GC336" s="120"/>
      <c r="GD336" s="120"/>
      <c r="GE336" s="120"/>
      <c r="GF336" s="120"/>
      <c r="GG336" s="120"/>
      <c r="GH336" s="120"/>
      <c r="GI336" s="120"/>
      <c r="GJ336" s="120"/>
      <c r="GK336" s="120"/>
      <c r="GL336" s="120"/>
      <c r="GM336" s="120"/>
      <c r="GN336" s="120"/>
      <c r="GO336" s="120"/>
      <c r="GP336" s="120"/>
      <c r="GQ336" s="120"/>
      <c r="GR336" s="120"/>
      <c r="GS336" s="120"/>
      <c r="GT336" s="120"/>
      <c r="GU336" s="120"/>
      <c r="GV336" s="120"/>
      <c r="GW336" s="120"/>
      <c r="GX336" s="120"/>
      <c r="GY336" s="120"/>
      <c r="GZ336" s="120"/>
      <c r="HA336" s="120"/>
      <c r="HB336" s="120"/>
      <c r="HC336" s="120"/>
      <c r="HD336" s="120"/>
      <c r="HE336" s="120"/>
      <c r="HF336" s="120"/>
      <c r="HG336" s="120"/>
      <c r="HH336" s="120"/>
      <c r="HI336" s="120"/>
      <c r="HJ336" s="120"/>
      <c r="HK336" s="120"/>
      <c r="HL336" s="120"/>
      <c r="HM336" s="120"/>
      <c r="HN336" s="120"/>
      <c r="HO336" s="120"/>
      <c r="HP336" s="120"/>
      <c r="HQ336" s="120"/>
      <c r="HR336" s="120"/>
      <c r="HS336" s="120"/>
      <c r="HT336" s="120"/>
      <c r="HU336" s="120"/>
      <c r="HV336" s="120"/>
      <c r="HW336" s="120"/>
      <c r="HX336" s="120"/>
      <c r="HY336" s="120"/>
      <c r="HZ336" s="120"/>
      <c r="IA336" s="120"/>
      <c r="IB336" s="120"/>
      <c r="IC336" s="120"/>
      <c r="ID336" s="120"/>
      <c r="IE336" s="120"/>
      <c r="IF336" s="120"/>
      <c r="IG336" s="120"/>
      <c r="IH336" s="120"/>
      <c r="II336" s="120"/>
      <c r="IJ336" s="120"/>
      <c r="IK336" s="120"/>
      <c r="IL336" s="120"/>
      <c r="IM336" s="120"/>
    </row>
    <row r="337" spans="2:247" x14ac:dyDescent="0.25">
      <c r="B337" s="806" t="s">
        <v>390</v>
      </c>
      <c r="C337" s="807"/>
      <c r="D337" s="807"/>
      <c r="E337" s="807"/>
      <c r="F337" s="808"/>
      <c r="G337" s="688"/>
      <c r="H337" s="431"/>
      <c r="I337" s="718"/>
      <c r="J337" s="718"/>
      <c r="K337" s="718"/>
      <c r="L337" s="718"/>
      <c r="M337" s="718"/>
      <c r="N337" s="718"/>
      <c r="O337" s="718"/>
      <c r="P337" s="718"/>
      <c r="Q337" s="718"/>
      <c r="R337" s="718"/>
      <c r="S337" s="718"/>
      <c r="T337" s="718"/>
      <c r="U337" s="718"/>
      <c r="V337" s="718"/>
      <c r="W337" s="718"/>
      <c r="X337" s="718"/>
      <c r="Y337" s="718"/>
      <c r="Z337" s="718"/>
      <c r="AA337" s="718"/>
      <c r="AB337" s="718"/>
      <c r="AC337" s="718"/>
      <c r="AD337" s="718"/>
      <c r="AE337" s="718"/>
      <c r="AF337" s="718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20"/>
      <c r="AV337" s="120"/>
      <c r="AW337" s="120"/>
      <c r="AX337" s="120"/>
      <c r="AY337" s="120"/>
      <c r="AZ337" s="120"/>
      <c r="BA337" s="120"/>
      <c r="BB337" s="120"/>
      <c r="BC337" s="120"/>
      <c r="BD337" s="120"/>
      <c r="BE337" s="120"/>
      <c r="BF337" s="120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20"/>
      <c r="BS337" s="120"/>
      <c r="BT337" s="120"/>
      <c r="BU337" s="120"/>
      <c r="BV337" s="120"/>
      <c r="BW337" s="120"/>
      <c r="BX337" s="120"/>
      <c r="BY337" s="120"/>
      <c r="BZ337" s="120"/>
      <c r="CA337" s="120"/>
      <c r="CB337" s="120"/>
      <c r="CC337" s="120"/>
      <c r="CD337" s="120"/>
      <c r="CE337" s="120"/>
      <c r="CF337" s="120"/>
      <c r="CG337" s="120"/>
      <c r="CH337" s="120"/>
      <c r="CI337" s="120"/>
      <c r="CJ337" s="120"/>
      <c r="CK337" s="120"/>
      <c r="CL337" s="120"/>
      <c r="CM337" s="120"/>
      <c r="CN337" s="120"/>
      <c r="CO337" s="120"/>
      <c r="CP337" s="120"/>
      <c r="CQ337" s="120"/>
      <c r="CR337" s="120"/>
      <c r="CS337" s="120"/>
      <c r="CT337" s="120"/>
      <c r="CU337" s="120"/>
      <c r="CV337" s="120"/>
      <c r="CW337" s="120"/>
      <c r="CX337" s="120"/>
      <c r="CY337" s="120"/>
      <c r="CZ337" s="120"/>
      <c r="DA337" s="120"/>
      <c r="DB337" s="120"/>
      <c r="DC337" s="120"/>
      <c r="DD337" s="120"/>
      <c r="DE337" s="120"/>
      <c r="DF337" s="120"/>
      <c r="DG337" s="120"/>
      <c r="DH337" s="120"/>
      <c r="DI337" s="120"/>
      <c r="DJ337" s="120"/>
      <c r="DK337" s="120"/>
      <c r="DL337" s="120"/>
      <c r="DM337" s="120"/>
      <c r="DN337" s="120"/>
      <c r="DO337" s="120"/>
      <c r="DP337" s="120"/>
      <c r="DQ337" s="120"/>
      <c r="DR337" s="120"/>
      <c r="DS337" s="120"/>
      <c r="DT337" s="120"/>
      <c r="DU337" s="120"/>
      <c r="DV337" s="120"/>
      <c r="DW337" s="120"/>
      <c r="DX337" s="120"/>
      <c r="DY337" s="120"/>
      <c r="DZ337" s="120"/>
      <c r="EA337" s="120"/>
      <c r="EB337" s="120"/>
      <c r="EC337" s="120"/>
      <c r="ED337" s="120"/>
      <c r="EE337" s="120"/>
      <c r="EF337" s="120"/>
      <c r="EG337" s="120"/>
      <c r="EH337" s="120"/>
      <c r="EI337" s="120"/>
      <c r="EJ337" s="120"/>
      <c r="EK337" s="120"/>
      <c r="EL337" s="120"/>
      <c r="EM337" s="120"/>
      <c r="EN337" s="120"/>
      <c r="EO337" s="120"/>
      <c r="EP337" s="120"/>
      <c r="EQ337" s="120"/>
      <c r="ER337" s="120"/>
      <c r="ES337" s="120"/>
      <c r="ET337" s="120"/>
      <c r="EU337" s="120"/>
      <c r="EV337" s="120"/>
      <c r="EW337" s="120"/>
      <c r="EX337" s="120"/>
      <c r="EY337" s="120"/>
      <c r="EZ337" s="120"/>
      <c r="FA337" s="120"/>
      <c r="FB337" s="120"/>
      <c r="FC337" s="120"/>
      <c r="FD337" s="120"/>
      <c r="FE337" s="120"/>
      <c r="FF337" s="120"/>
      <c r="FG337" s="120"/>
      <c r="FH337" s="120"/>
      <c r="FI337" s="120"/>
      <c r="FJ337" s="120"/>
      <c r="FK337" s="120"/>
      <c r="FL337" s="120"/>
      <c r="FM337" s="120"/>
      <c r="FN337" s="120"/>
      <c r="FO337" s="120"/>
      <c r="FP337" s="120"/>
      <c r="FQ337" s="120"/>
      <c r="FR337" s="120"/>
      <c r="FS337" s="120"/>
      <c r="FT337" s="120"/>
      <c r="FU337" s="120"/>
      <c r="FV337" s="120"/>
      <c r="FW337" s="120"/>
      <c r="FX337" s="120"/>
      <c r="FY337" s="120"/>
      <c r="FZ337" s="120"/>
      <c r="GA337" s="120"/>
      <c r="GB337" s="120"/>
      <c r="GC337" s="120"/>
      <c r="GD337" s="120"/>
      <c r="GE337" s="120"/>
      <c r="GF337" s="120"/>
      <c r="GG337" s="120"/>
      <c r="GH337" s="120"/>
      <c r="GI337" s="120"/>
      <c r="GJ337" s="120"/>
      <c r="GK337" s="120"/>
      <c r="GL337" s="120"/>
      <c r="GM337" s="120"/>
      <c r="GN337" s="120"/>
      <c r="GO337" s="120"/>
      <c r="GP337" s="120"/>
      <c r="GQ337" s="120"/>
      <c r="GR337" s="120"/>
      <c r="GS337" s="120"/>
      <c r="GT337" s="120"/>
      <c r="GU337" s="120"/>
      <c r="GV337" s="120"/>
      <c r="GW337" s="120"/>
      <c r="GX337" s="120"/>
      <c r="GY337" s="120"/>
      <c r="GZ337" s="120"/>
      <c r="HA337" s="120"/>
      <c r="HB337" s="120"/>
      <c r="HC337" s="120"/>
      <c r="HD337" s="120"/>
      <c r="HE337" s="120"/>
      <c r="HF337" s="120"/>
      <c r="HG337" s="120"/>
      <c r="HH337" s="120"/>
      <c r="HI337" s="120"/>
      <c r="HJ337" s="120"/>
      <c r="HK337" s="120"/>
      <c r="HL337" s="120"/>
      <c r="HM337" s="120"/>
      <c r="HN337" s="120"/>
      <c r="HO337" s="120"/>
      <c r="HP337" s="120"/>
      <c r="HQ337" s="120"/>
      <c r="HR337" s="120"/>
      <c r="HS337" s="120"/>
      <c r="HT337" s="120"/>
      <c r="HU337" s="120"/>
      <c r="HV337" s="120"/>
      <c r="HW337" s="120"/>
      <c r="HX337" s="120"/>
      <c r="HY337" s="120"/>
      <c r="HZ337" s="120"/>
      <c r="IA337" s="120"/>
      <c r="IB337" s="120"/>
      <c r="IC337" s="120"/>
      <c r="ID337" s="120"/>
      <c r="IE337" s="120"/>
      <c r="IF337" s="120"/>
      <c r="IG337" s="120"/>
      <c r="IH337" s="120"/>
      <c r="II337" s="120"/>
      <c r="IJ337" s="120"/>
      <c r="IK337" s="120"/>
      <c r="IL337" s="120"/>
      <c r="IM337" s="120"/>
    </row>
    <row r="338" spans="2:247" ht="146.25" customHeight="1" x14ac:dyDescent="0.25">
      <c r="B338" s="306" t="s">
        <v>129</v>
      </c>
      <c r="C338" s="50" t="s">
        <v>52</v>
      </c>
      <c r="D338" s="90">
        <v>15</v>
      </c>
      <c r="E338" s="90">
        <f>126/572*100</f>
        <v>22.02797202797203</v>
      </c>
      <c r="F338" s="64" t="str">
        <f t="shared" si="9"/>
        <v>100</v>
      </c>
      <c r="G338" s="688"/>
      <c r="H338" s="443" t="s">
        <v>1221</v>
      </c>
      <c r="I338" s="718"/>
      <c r="J338" s="718"/>
      <c r="K338" s="718"/>
      <c r="L338" s="718"/>
      <c r="M338" s="718"/>
      <c r="N338" s="718"/>
      <c r="O338" s="718"/>
      <c r="P338" s="718"/>
      <c r="Q338" s="718"/>
      <c r="R338" s="718"/>
      <c r="S338" s="718"/>
      <c r="T338" s="718"/>
      <c r="U338" s="718"/>
      <c r="V338" s="718"/>
      <c r="W338" s="718"/>
      <c r="X338" s="718"/>
      <c r="Y338" s="718"/>
      <c r="Z338" s="718"/>
      <c r="AA338" s="718"/>
      <c r="AB338" s="718"/>
      <c r="AC338" s="718"/>
      <c r="AD338" s="718"/>
      <c r="AE338" s="718"/>
      <c r="AF338" s="718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20"/>
      <c r="AV338" s="120"/>
      <c r="AW338" s="120"/>
      <c r="AX338" s="120"/>
      <c r="AY338" s="120"/>
      <c r="AZ338" s="120"/>
      <c r="BA338" s="120"/>
      <c r="BB338" s="120"/>
      <c r="BC338" s="120"/>
      <c r="BD338" s="120"/>
      <c r="BE338" s="120"/>
      <c r="BF338" s="120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20"/>
      <c r="BS338" s="120"/>
      <c r="BT338" s="120"/>
      <c r="BU338" s="120"/>
      <c r="BV338" s="120"/>
      <c r="BW338" s="120"/>
      <c r="BX338" s="120"/>
      <c r="BY338" s="120"/>
      <c r="BZ338" s="120"/>
      <c r="CA338" s="120"/>
      <c r="CB338" s="120"/>
      <c r="CC338" s="120"/>
      <c r="CD338" s="120"/>
      <c r="CE338" s="120"/>
      <c r="CF338" s="120"/>
      <c r="CG338" s="120"/>
      <c r="CH338" s="120"/>
      <c r="CI338" s="120"/>
      <c r="CJ338" s="120"/>
      <c r="CK338" s="120"/>
      <c r="CL338" s="120"/>
      <c r="CM338" s="120"/>
      <c r="CN338" s="120"/>
      <c r="CO338" s="120"/>
      <c r="CP338" s="120"/>
      <c r="CQ338" s="120"/>
      <c r="CR338" s="120"/>
      <c r="CS338" s="120"/>
      <c r="CT338" s="120"/>
      <c r="CU338" s="120"/>
      <c r="CV338" s="120"/>
      <c r="CW338" s="120"/>
      <c r="CX338" s="120"/>
      <c r="CY338" s="120"/>
      <c r="CZ338" s="120"/>
      <c r="DA338" s="120"/>
      <c r="DB338" s="120"/>
      <c r="DC338" s="120"/>
      <c r="DD338" s="120"/>
      <c r="DE338" s="120"/>
      <c r="DF338" s="120"/>
      <c r="DG338" s="120"/>
      <c r="DH338" s="120"/>
      <c r="DI338" s="120"/>
      <c r="DJ338" s="120"/>
      <c r="DK338" s="120"/>
      <c r="DL338" s="120"/>
      <c r="DM338" s="120"/>
      <c r="DN338" s="120"/>
      <c r="DO338" s="120"/>
      <c r="DP338" s="120"/>
      <c r="DQ338" s="120"/>
      <c r="DR338" s="120"/>
      <c r="DS338" s="120"/>
      <c r="DT338" s="120"/>
      <c r="DU338" s="120"/>
      <c r="DV338" s="120"/>
      <c r="DW338" s="120"/>
      <c r="DX338" s="120"/>
      <c r="DY338" s="120"/>
      <c r="DZ338" s="120"/>
      <c r="EA338" s="120"/>
      <c r="EB338" s="120"/>
      <c r="EC338" s="120"/>
      <c r="ED338" s="120"/>
      <c r="EE338" s="120"/>
      <c r="EF338" s="120"/>
      <c r="EG338" s="120"/>
      <c r="EH338" s="120"/>
      <c r="EI338" s="120"/>
      <c r="EJ338" s="120"/>
      <c r="EK338" s="120"/>
      <c r="EL338" s="120"/>
      <c r="EM338" s="120"/>
      <c r="EN338" s="120"/>
      <c r="EO338" s="120"/>
      <c r="EP338" s="120"/>
      <c r="EQ338" s="120"/>
      <c r="ER338" s="120"/>
      <c r="ES338" s="120"/>
      <c r="ET338" s="120"/>
      <c r="EU338" s="120"/>
      <c r="EV338" s="120"/>
      <c r="EW338" s="120"/>
      <c r="EX338" s="120"/>
      <c r="EY338" s="120"/>
      <c r="EZ338" s="120"/>
      <c r="FA338" s="120"/>
      <c r="FB338" s="120"/>
      <c r="FC338" s="120"/>
      <c r="FD338" s="120"/>
      <c r="FE338" s="120"/>
      <c r="FF338" s="120"/>
      <c r="FG338" s="120"/>
      <c r="FH338" s="120"/>
      <c r="FI338" s="120"/>
      <c r="FJ338" s="120"/>
      <c r="FK338" s="120"/>
      <c r="FL338" s="120"/>
      <c r="FM338" s="120"/>
      <c r="FN338" s="120"/>
      <c r="FO338" s="120"/>
      <c r="FP338" s="120"/>
      <c r="FQ338" s="120"/>
      <c r="FR338" s="120"/>
      <c r="FS338" s="120"/>
      <c r="FT338" s="120"/>
      <c r="FU338" s="120"/>
      <c r="FV338" s="120"/>
      <c r="FW338" s="120"/>
      <c r="FX338" s="120"/>
      <c r="FY338" s="120"/>
      <c r="FZ338" s="120"/>
      <c r="GA338" s="120"/>
      <c r="GB338" s="120"/>
      <c r="GC338" s="120"/>
      <c r="GD338" s="120"/>
      <c r="GE338" s="120"/>
      <c r="GF338" s="120"/>
      <c r="GG338" s="120"/>
      <c r="GH338" s="120"/>
      <c r="GI338" s="120"/>
      <c r="GJ338" s="120"/>
      <c r="GK338" s="120"/>
      <c r="GL338" s="120"/>
      <c r="GM338" s="120"/>
      <c r="GN338" s="120"/>
      <c r="GO338" s="120"/>
      <c r="GP338" s="120"/>
      <c r="GQ338" s="120"/>
      <c r="GR338" s="120"/>
      <c r="GS338" s="120"/>
      <c r="GT338" s="120"/>
      <c r="GU338" s="120"/>
      <c r="GV338" s="120"/>
      <c r="GW338" s="120"/>
      <c r="GX338" s="120"/>
      <c r="GY338" s="120"/>
      <c r="GZ338" s="120"/>
      <c r="HA338" s="120"/>
      <c r="HB338" s="120"/>
      <c r="HC338" s="120"/>
      <c r="HD338" s="120"/>
      <c r="HE338" s="120"/>
      <c r="HF338" s="120"/>
      <c r="HG338" s="120"/>
      <c r="HH338" s="120"/>
      <c r="HI338" s="120"/>
      <c r="HJ338" s="120"/>
      <c r="HK338" s="120"/>
      <c r="HL338" s="120"/>
      <c r="HM338" s="120"/>
      <c r="HN338" s="120"/>
      <c r="HO338" s="120"/>
      <c r="HP338" s="120"/>
      <c r="HQ338" s="120"/>
      <c r="HR338" s="120"/>
      <c r="HS338" s="120"/>
      <c r="HT338" s="120"/>
      <c r="HU338" s="120"/>
      <c r="HV338" s="120"/>
      <c r="HW338" s="120"/>
      <c r="HX338" s="120"/>
      <c r="HY338" s="120"/>
      <c r="HZ338" s="120"/>
      <c r="IA338" s="120"/>
      <c r="IB338" s="120"/>
      <c r="IC338" s="120"/>
      <c r="ID338" s="120"/>
      <c r="IE338" s="120"/>
      <c r="IF338" s="120"/>
      <c r="IG338" s="120"/>
      <c r="IH338" s="120"/>
      <c r="II338" s="120"/>
      <c r="IJ338" s="120"/>
      <c r="IK338" s="120"/>
      <c r="IL338" s="120"/>
      <c r="IM338" s="120"/>
    </row>
    <row r="339" spans="2:247" ht="147.75" customHeight="1" x14ac:dyDescent="0.25">
      <c r="B339" s="306" t="s">
        <v>130</v>
      </c>
      <c r="C339" s="50" t="s">
        <v>52</v>
      </c>
      <c r="D339" s="90">
        <v>28</v>
      </c>
      <c r="E339" s="90">
        <f>174/572*100</f>
        <v>30.419580419580424</v>
      </c>
      <c r="F339" s="64" t="str">
        <f t="shared" si="9"/>
        <v>100</v>
      </c>
      <c r="G339" s="688"/>
      <c r="H339" s="443" t="s">
        <v>1222</v>
      </c>
      <c r="I339" s="718"/>
      <c r="J339" s="718"/>
      <c r="K339" s="718"/>
      <c r="L339" s="718"/>
      <c r="M339" s="718"/>
      <c r="N339" s="718"/>
      <c r="O339" s="718"/>
      <c r="P339" s="718"/>
      <c r="Q339" s="718"/>
      <c r="R339" s="718"/>
      <c r="S339" s="718"/>
      <c r="T339" s="718"/>
      <c r="U339" s="718"/>
      <c r="V339" s="718"/>
      <c r="W339" s="718"/>
      <c r="X339" s="718"/>
      <c r="Y339" s="718"/>
      <c r="Z339" s="718"/>
      <c r="AA339" s="718"/>
      <c r="AB339" s="718"/>
      <c r="AC339" s="718"/>
      <c r="AD339" s="718"/>
      <c r="AE339" s="718"/>
      <c r="AF339" s="718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20"/>
      <c r="AV339" s="120"/>
      <c r="AW339" s="120"/>
      <c r="AX339" s="120"/>
      <c r="AY339" s="120"/>
      <c r="AZ339" s="120"/>
      <c r="BA339" s="120"/>
      <c r="BB339" s="120"/>
      <c r="BC339" s="120"/>
      <c r="BD339" s="120"/>
      <c r="BE339" s="120"/>
      <c r="BF339" s="120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20"/>
      <c r="BS339" s="120"/>
      <c r="BT339" s="120"/>
      <c r="BU339" s="120"/>
      <c r="BV339" s="120"/>
      <c r="BW339" s="120"/>
      <c r="BX339" s="120"/>
      <c r="BY339" s="120"/>
      <c r="BZ339" s="120"/>
      <c r="CA339" s="120"/>
      <c r="CB339" s="120"/>
      <c r="CC339" s="120"/>
      <c r="CD339" s="120"/>
      <c r="CE339" s="120"/>
      <c r="CF339" s="120"/>
      <c r="CG339" s="120"/>
      <c r="CH339" s="120"/>
      <c r="CI339" s="120"/>
      <c r="CJ339" s="120"/>
      <c r="CK339" s="120"/>
      <c r="CL339" s="120"/>
      <c r="CM339" s="120"/>
      <c r="CN339" s="120"/>
      <c r="CO339" s="120"/>
      <c r="CP339" s="120"/>
      <c r="CQ339" s="120"/>
      <c r="CR339" s="120"/>
      <c r="CS339" s="120"/>
      <c r="CT339" s="120"/>
      <c r="CU339" s="120"/>
      <c r="CV339" s="120"/>
      <c r="CW339" s="120"/>
      <c r="CX339" s="120"/>
      <c r="CY339" s="120"/>
      <c r="CZ339" s="120"/>
      <c r="DA339" s="120"/>
      <c r="DB339" s="120"/>
      <c r="DC339" s="120"/>
      <c r="DD339" s="120"/>
      <c r="DE339" s="120"/>
      <c r="DF339" s="120"/>
      <c r="DG339" s="120"/>
      <c r="DH339" s="120"/>
      <c r="DI339" s="120"/>
      <c r="DJ339" s="120"/>
      <c r="DK339" s="120"/>
      <c r="DL339" s="120"/>
      <c r="DM339" s="120"/>
      <c r="DN339" s="120"/>
      <c r="DO339" s="120"/>
      <c r="DP339" s="120"/>
      <c r="DQ339" s="120"/>
      <c r="DR339" s="120"/>
      <c r="DS339" s="120"/>
      <c r="DT339" s="120"/>
      <c r="DU339" s="120"/>
      <c r="DV339" s="120"/>
      <c r="DW339" s="120"/>
      <c r="DX339" s="120"/>
      <c r="DY339" s="120"/>
      <c r="DZ339" s="120"/>
      <c r="EA339" s="120"/>
      <c r="EB339" s="120"/>
      <c r="EC339" s="120"/>
      <c r="ED339" s="120"/>
      <c r="EE339" s="120"/>
      <c r="EF339" s="120"/>
      <c r="EG339" s="120"/>
      <c r="EH339" s="120"/>
      <c r="EI339" s="120"/>
      <c r="EJ339" s="120"/>
      <c r="EK339" s="120"/>
      <c r="EL339" s="120"/>
      <c r="EM339" s="120"/>
      <c r="EN339" s="120"/>
      <c r="EO339" s="120"/>
      <c r="EP339" s="120"/>
      <c r="EQ339" s="120"/>
      <c r="ER339" s="120"/>
      <c r="ES339" s="120"/>
      <c r="ET339" s="120"/>
      <c r="EU339" s="120"/>
      <c r="EV339" s="120"/>
      <c r="EW339" s="120"/>
      <c r="EX339" s="120"/>
      <c r="EY339" s="120"/>
      <c r="EZ339" s="120"/>
      <c r="FA339" s="120"/>
      <c r="FB339" s="120"/>
      <c r="FC339" s="120"/>
      <c r="FD339" s="120"/>
      <c r="FE339" s="120"/>
      <c r="FF339" s="120"/>
      <c r="FG339" s="120"/>
      <c r="FH339" s="120"/>
      <c r="FI339" s="120"/>
      <c r="FJ339" s="120"/>
      <c r="FK339" s="120"/>
      <c r="FL339" s="120"/>
      <c r="FM339" s="120"/>
      <c r="FN339" s="120"/>
      <c r="FO339" s="120"/>
      <c r="FP339" s="120"/>
      <c r="FQ339" s="120"/>
      <c r="FR339" s="120"/>
      <c r="FS339" s="120"/>
      <c r="FT339" s="120"/>
      <c r="FU339" s="120"/>
      <c r="FV339" s="120"/>
      <c r="FW339" s="120"/>
      <c r="FX339" s="120"/>
      <c r="FY339" s="120"/>
      <c r="FZ339" s="120"/>
      <c r="GA339" s="120"/>
      <c r="GB339" s="120"/>
      <c r="GC339" s="120"/>
      <c r="GD339" s="120"/>
      <c r="GE339" s="120"/>
      <c r="GF339" s="120"/>
      <c r="GG339" s="120"/>
      <c r="GH339" s="120"/>
      <c r="GI339" s="120"/>
      <c r="GJ339" s="120"/>
      <c r="GK339" s="120"/>
      <c r="GL339" s="120"/>
      <c r="GM339" s="120"/>
      <c r="GN339" s="120"/>
      <c r="GO339" s="120"/>
      <c r="GP339" s="120"/>
      <c r="GQ339" s="120"/>
      <c r="GR339" s="120"/>
      <c r="GS339" s="120"/>
      <c r="GT339" s="120"/>
      <c r="GU339" s="120"/>
      <c r="GV339" s="120"/>
      <c r="GW339" s="120"/>
      <c r="GX339" s="120"/>
      <c r="GY339" s="120"/>
      <c r="GZ339" s="120"/>
      <c r="HA339" s="120"/>
      <c r="HB339" s="120"/>
      <c r="HC339" s="120"/>
      <c r="HD339" s="120"/>
      <c r="HE339" s="120"/>
      <c r="HF339" s="120"/>
      <c r="HG339" s="120"/>
      <c r="HH339" s="120"/>
      <c r="HI339" s="120"/>
      <c r="HJ339" s="120"/>
      <c r="HK339" s="120"/>
      <c r="HL339" s="120"/>
      <c r="HM339" s="120"/>
      <c r="HN339" s="120"/>
      <c r="HO339" s="120"/>
      <c r="HP339" s="120"/>
      <c r="HQ339" s="120"/>
      <c r="HR339" s="120"/>
      <c r="HS339" s="120"/>
      <c r="HT339" s="120"/>
      <c r="HU339" s="120"/>
      <c r="HV339" s="120"/>
      <c r="HW339" s="120"/>
      <c r="HX339" s="120"/>
      <c r="HY339" s="120"/>
      <c r="HZ339" s="120"/>
      <c r="IA339" s="120"/>
      <c r="IB339" s="120"/>
      <c r="IC339" s="120"/>
      <c r="ID339" s="120"/>
      <c r="IE339" s="120"/>
      <c r="IF339" s="120"/>
      <c r="IG339" s="120"/>
      <c r="IH339" s="120"/>
      <c r="II339" s="120"/>
      <c r="IJ339" s="120"/>
      <c r="IK339" s="120"/>
      <c r="IL339" s="120"/>
      <c r="IM339" s="120"/>
    </row>
    <row r="340" spans="2:247" ht="181.5" customHeight="1" x14ac:dyDescent="0.25">
      <c r="B340" s="306" t="s">
        <v>131</v>
      </c>
      <c r="C340" s="50" t="s">
        <v>52</v>
      </c>
      <c r="D340" s="90">
        <v>13</v>
      </c>
      <c r="E340" s="90">
        <f>76/572*100</f>
        <v>13.286713286713287</v>
      </c>
      <c r="F340" s="64" t="str">
        <f t="shared" si="9"/>
        <v>100</v>
      </c>
      <c r="G340" s="688"/>
      <c r="H340" s="443" t="s">
        <v>1223</v>
      </c>
      <c r="I340" s="718"/>
      <c r="J340" s="718"/>
      <c r="K340" s="718"/>
      <c r="L340" s="718"/>
      <c r="M340" s="718"/>
      <c r="N340" s="718"/>
      <c r="O340" s="718"/>
      <c r="P340" s="718"/>
      <c r="Q340" s="718"/>
      <c r="R340" s="718"/>
      <c r="S340" s="718"/>
      <c r="T340" s="718"/>
      <c r="U340" s="718"/>
      <c r="V340" s="718"/>
      <c r="W340" s="718"/>
      <c r="X340" s="718"/>
      <c r="Y340" s="718"/>
      <c r="Z340" s="718"/>
      <c r="AA340" s="718"/>
      <c r="AB340" s="718"/>
      <c r="AC340" s="718"/>
      <c r="AD340" s="718"/>
      <c r="AE340" s="718"/>
      <c r="AF340" s="718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20"/>
      <c r="AV340" s="120"/>
      <c r="AW340" s="120"/>
      <c r="AX340" s="120"/>
      <c r="AY340" s="120"/>
      <c r="AZ340" s="120"/>
      <c r="BA340" s="120"/>
      <c r="BB340" s="120"/>
      <c r="BC340" s="120"/>
      <c r="BD340" s="120"/>
      <c r="BE340" s="120"/>
      <c r="BF340" s="120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20"/>
      <c r="BS340" s="120"/>
      <c r="BT340" s="120"/>
      <c r="BU340" s="120"/>
      <c r="BV340" s="120"/>
      <c r="BW340" s="120"/>
      <c r="BX340" s="120"/>
      <c r="BY340" s="120"/>
      <c r="BZ340" s="120"/>
      <c r="CA340" s="120"/>
      <c r="CB340" s="120"/>
      <c r="CC340" s="120"/>
      <c r="CD340" s="120"/>
      <c r="CE340" s="120"/>
      <c r="CF340" s="120"/>
      <c r="CG340" s="120"/>
      <c r="CH340" s="120"/>
      <c r="CI340" s="120"/>
      <c r="CJ340" s="120"/>
      <c r="CK340" s="120"/>
      <c r="CL340" s="120"/>
      <c r="CM340" s="120"/>
      <c r="CN340" s="120"/>
      <c r="CO340" s="120"/>
      <c r="CP340" s="120"/>
      <c r="CQ340" s="120"/>
      <c r="CR340" s="120"/>
      <c r="CS340" s="120"/>
      <c r="CT340" s="120"/>
      <c r="CU340" s="120"/>
      <c r="CV340" s="120"/>
      <c r="CW340" s="120"/>
      <c r="CX340" s="120"/>
      <c r="CY340" s="120"/>
      <c r="CZ340" s="120"/>
      <c r="DA340" s="120"/>
      <c r="DB340" s="120"/>
      <c r="DC340" s="120"/>
      <c r="DD340" s="120"/>
      <c r="DE340" s="120"/>
      <c r="DF340" s="120"/>
      <c r="DG340" s="120"/>
      <c r="DH340" s="120"/>
      <c r="DI340" s="120"/>
      <c r="DJ340" s="120"/>
      <c r="DK340" s="120"/>
      <c r="DL340" s="120"/>
      <c r="DM340" s="120"/>
      <c r="DN340" s="120"/>
      <c r="DO340" s="120"/>
      <c r="DP340" s="120"/>
      <c r="DQ340" s="120"/>
      <c r="DR340" s="120"/>
      <c r="DS340" s="120"/>
      <c r="DT340" s="120"/>
      <c r="DU340" s="120"/>
      <c r="DV340" s="120"/>
      <c r="DW340" s="120"/>
      <c r="DX340" s="120"/>
      <c r="DY340" s="120"/>
      <c r="DZ340" s="120"/>
      <c r="EA340" s="120"/>
      <c r="EB340" s="120"/>
      <c r="EC340" s="120"/>
      <c r="ED340" s="120"/>
      <c r="EE340" s="120"/>
      <c r="EF340" s="120"/>
      <c r="EG340" s="120"/>
      <c r="EH340" s="120"/>
      <c r="EI340" s="120"/>
      <c r="EJ340" s="120"/>
      <c r="EK340" s="120"/>
      <c r="EL340" s="120"/>
      <c r="EM340" s="120"/>
      <c r="EN340" s="120"/>
      <c r="EO340" s="120"/>
      <c r="EP340" s="120"/>
      <c r="EQ340" s="120"/>
      <c r="ER340" s="120"/>
      <c r="ES340" s="120"/>
      <c r="ET340" s="120"/>
      <c r="EU340" s="120"/>
      <c r="EV340" s="120"/>
      <c r="EW340" s="120"/>
      <c r="EX340" s="120"/>
      <c r="EY340" s="120"/>
      <c r="EZ340" s="120"/>
      <c r="FA340" s="120"/>
      <c r="FB340" s="120"/>
      <c r="FC340" s="120"/>
      <c r="FD340" s="120"/>
      <c r="FE340" s="120"/>
      <c r="FF340" s="120"/>
      <c r="FG340" s="120"/>
      <c r="FH340" s="120"/>
      <c r="FI340" s="120"/>
      <c r="FJ340" s="120"/>
      <c r="FK340" s="120"/>
      <c r="FL340" s="120"/>
      <c r="FM340" s="120"/>
      <c r="FN340" s="120"/>
      <c r="FO340" s="120"/>
      <c r="FP340" s="120"/>
      <c r="FQ340" s="120"/>
      <c r="FR340" s="120"/>
      <c r="FS340" s="120"/>
      <c r="FT340" s="120"/>
      <c r="FU340" s="120"/>
      <c r="FV340" s="120"/>
      <c r="FW340" s="120"/>
      <c r="FX340" s="120"/>
      <c r="FY340" s="120"/>
      <c r="FZ340" s="120"/>
      <c r="GA340" s="120"/>
      <c r="GB340" s="120"/>
      <c r="GC340" s="120"/>
      <c r="GD340" s="120"/>
      <c r="GE340" s="120"/>
      <c r="GF340" s="120"/>
      <c r="GG340" s="120"/>
      <c r="GH340" s="120"/>
      <c r="GI340" s="120"/>
      <c r="GJ340" s="120"/>
      <c r="GK340" s="120"/>
      <c r="GL340" s="120"/>
      <c r="GM340" s="120"/>
      <c r="GN340" s="120"/>
      <c r="GO340" s="120"/>
      <c r="GP340" s="120"/>
      <c r="GQ340" s="120"/>
      <c r="GR340" s="120"/>
      <c r="GS340" s="120"/>
      <c r="GT340" s="120"/>
      <c r="GU340" s="120"/>
      <c r="GV340" s="120"/>
      <c r="GW340" s="120"/>
      <c r="GX340" s="120"/>
      <c r="GY340" s="120"/>
      <c r="GZ340" s="120"/>
      <c r="HA340" s="120"/>
      <c r="HB340" s="120"/>
      <c r="HC340" s="120"/>
      <c r="HD340" s="120"/>
      <c r="HE340" s="120"/>
      <c r="HF340" s="120"/>
      <c r="HG340" s="120"/>
      <c r="HH340" s="120"/>
      <c r="HI340" s="120"/>
      <c r="HJ340" s="120"/>
      <c r="HK340" s="120"/>
      <c r="HL340" s="120"/>
      <c r="HM340" s="120"/>
      <c r="HN340" s="120"/>
      <c r="HO340" s="120"/>
      <c r="HP340" s="120"/>
      <c r="HQ340" s="120"/>
      <c r="HR340" s="120"/>
      <c r="HS340" s="120"/>
      <c r="HT340" s="120"/>
      <c r="HU340" s="120"/>
      <c r="HV340" s="120"/>
      <c r="HW340" s="120"/>
      <c r="HX340" s="120"/>
      <c r="HY340" s="120"/>
      <c r="HZ340" s="120"/>
      <c r="IA340" s="120"/>
      <c r="IB340" s="120"/>
      <c r="IC340" s="120"/>
      <c r="ID340" s="120"/>
      <c r="IE340" s="120"/>
      <c r="IF340" s="120"/>
      <c r="IG340" s="120"/>
      <c r="IH340" s="120"/>
      <c r="II340" s="120"/>
      <c r="IJ340" s="120"/>
      <c r="IK340" s="120"/>
      <c r="IL340" s="120"/>
      <c r="IM340" s="120"/>
    </row>
    <row r="341" spans="2:247" x14ac:dyDescent="0.25">
      <c r="B341" s="806" t="s">
        <v>132</v>
      </c>
      <c r="C341" s="807"/>
      <c r="D341" s="807"/>
      <c r="E341" s="807"/>
      <c r="F341" s="808"/>
      <c r="G341" s="688"/>
      <c r="H341" s="431"/>
      <c r="I341" s="718"/>
      <c r="J341" s="718"/>
      <c r="K341" s="718"/>
      <c r="L341" s="718"/>
      <c r="M341" s="718"/>
      <c r="N341" s="718"/>
      <c r="O341" s="718"/>
      <c r="P341" s="718"/>
      <c r="Q341" s="718"/>
      <c r="R341" s="718"/>
      <c r="S341" s="718"/>
      <c r="T341" s="718"/>
      <c r="U341" s="718"/>
      <c r="V341" s="718"/>
      <c r="W341" s="718"/>
      <c r="X341" s="718"/>
      <c r="Y341" s="718"/>
      <c r="Z341" s="718"/>
      <c r="AA341" s="718"/>
      <c r="AB341" s="718"/>
      <c r="AC341" s="718"/>
      <c r="AD341" s="718"/>
      <c r="AE341" s="718"/>
      <c r="AF341" s="718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20"/>
      <c r="AV341" s="120"/>
      <c r="AW341" s="120"/>
      <c r="AX341" s="120"/>
      <c r="AY341" s="120"/>
      <c r="AZ341" s="120"/>
      <c r="BA341" s="120"/>
      <c r="BB341" s="120"/>
      <c r="BC341" s="120"/>
      <c r="BD341" s="120"/>
      <c r="BE341" s="120"/>
      <c r="BF341" s="120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20"/>
      <c r="BS341" s="120"/>
      <c r="BT341" s="120"/>
      <c r="BU341" s="120"/>
      <c r="BV341" s="120"/>
      <c r="BW341" s="120"/>
      <c r="BX341" s="120"/>
      <c r="BY341" s="120"/>
      <c r="BZ341" s="120"/>
      <c r="CA341" s="120"/>
      <c r="CB341" s="120"/>
      <c r="CC341" s="120"/>
      <c r="CD341" s="120"/>
      <c r="CE341" s="120"/>
      <c r="CF341" s="120"/>
      <c r="CG341" s="120"/>
      <c r="CH341" s="120"/>
      <c r="CI341" s="120"/>
      <c r="CJ341" s="120"/>
      <c r="CK341" s="120"/>
      <c r="CL341" s="120"/>
      <c r="CM341" s="120"/>
      <c r="CN341" s="120"/>
      <c r="CO341" s="120"/>
      <c r="CP341" s="120"/>
      <c r="CQ341" s="120"/>
      <c r="CR341" s="120"/>
      <c r="CS341" s="120"/>
      <c r="CT341" s="120"/>
      <c r="CU341" s="120"/>
      <c r="CV341" s="120"/>
      <c r="CW341" s="120"/>
      <c r="CX341" s="120"/>
      <c r="CY341" s="120"/>
      <c r="CZ341" s="120"/>
      <c r="DA341" s="120"/>
      <c r="DB341" s="120"/>
      <c r="DC341" s="120"/>
      <c r="DD341" s="120"/>
      <c r="DE341" s="120"/>
      <c r="DF341" s="120"/>
      <c r="DG341" s="120"/>
      <c r="DH341" s="120"/>
      <c r="DI341" s="120"/>
      <c r="DJ341" s="120"/>
      <c r="DK341" s="120"/>
      <c r="DL341" s="120"/>
      <c r="DM341" s="120"/>
      <c r="DN341" s="120"/>
      <c r="DO341" s="120"/>
      <c r="DP341" s="120"/>
      <c r="DQ341" s="120"/>
      <c r="DR341" s="120"/>
      <c r="DS341" s="120"/>
      <c r="DT341" s="120"/>
      <c r="DU341" s="120"/>
      <c r="DV341" s="120"/>
      <c r="DW341" s="120"/>
      <c r="DX341" s="120"/>
      <c r="DY341" s="120"/>
      <c r="DZ341" s="120"/>
      <c r="EA341" s="120"/>
      <c r="EB341" s="120"/>
      <c r="EC341" s="120"/>
      <c r="ED341" s="120"/>
      <c r="EE341" s="120"/>
      <c r="EF341" s="120"/>
      <c r="EG341" s="120"/>
      <c r="EH341" s="120"/>
      <c r="EI341" s="120"/>
      <c r="EJ341" s="120"/>
      <c r="EK341" s="120"/>
      <c r="EL341" s="120"/>
      <c r="EM341" s="120"/>
      <c r="EN341" s="120"/>
      <c r="EO341" s="120"/>
      <c r="EP341" s="120"/>
      <c r="EQ341" s="120"/>
      <c r="ER341" s="120"/>
      <c r="ES341" s="120"/>
      <c r="ET341" s="120"/>
      <c r="EU341" s="120"/>
      <c r="EV341" s="120"/>
      <c r="EW341" s="120"/>
      <c r="EX341" s="120"/>
      <c r="EY341" s="120"/>
      <c r="EZ341" s="120"/>
      <c r="FA341" s="120"/>
      <c r="FB341" s="120"/>
      <c r="FC341" s="120"/>
      <c r="FD341" s="120"/>
      <c r="FE341" s="120"/>
      <c r="FF341" s="120"/>
      <c r="FG341" s="120"/>
      <c r="FH341" s="120"/>
      <c r="FI341" s="120"/>
      <c r="FJ341" s="120"/>
      <c r="FK341" s="120"/>
      <c r="FL341" s="120"/>
      <c r="FM341" s="120"/>
      <c r="FN341" s="120"/>
      <c r="FO341" s="120"/>
      <c r="FP341" s="120"/>
      <c r="FQ341" s="120"/>
      <c r="FR341" s="120"/>
      <c r="FS341" s="120"/>
      <c r="FT341" s="120"/>
      <c r="FU341" s="120"/>
      <c r="FV341" s="120"/>
      <c r="FW341" s="120"/>
      <c r="FX341" s="120"/>
      <c r="FY341" s="120"/>
      <c r="FZ341" s="120"/>
      <c r="GA341" s="120"/>
      <c r="GB341" s="120"/>
      <c r="GC341" s="120"/>
      <c r="GD341" s="120"/>
      <c r="GE341" s="120"/>
      <c r="GF341" s="120"/>
      <c r="GG341" s="120"/>
      <c r="GH341" s="120"/>
      <c r="GI341" s="120"/>
      <c r="GJ341" s="120"/>
      <c r="GK341" s="120"/>
      <c r="GL341" s="120"/>
      <c r="GM341" s="120"/>
      <c r="GN341" s="120"/>
      <c r="GO341" s="120"/>
      <c r="GP341" s="120"/>
      <c r="GQ341" s="120"/>
      <c r="GR341" s="120"/>
      <c r="GS341" s="120"/>
      <c r="GT341" s="120"/>
      <c r="GU341" s="120"/>
      <c r="GV341" s="120"/>
      <c r="GW341" s="120"/>
      <c r="GX341" s="120"/>
      <c r="GY341" s="120"/>
      <c r="GZ341" s="120"/>
      <c r="HA341" s="120"/>
      <c r="HB341" s="120"/>
      <c r="HC341" s="120"/>
      <c r="HD341" s="120"/>
      <c r="HE341" s="120"/>
      <c r="HF341" s="120"/>
      <c r="HG341" s="120"/>
      <c r="HH341" s="120"/>
      <c r="HI341" s="120"/>
      <c r="HJ341" s="120"/>
      <c r="HK341" s="120"/>
      <c r="HL341" s="120"/>
      <c r="HM341" s="120"/>
      <c r="HN341" s="120"/>
      <c r="HO341" s="120"/>
      <c r="HP341" s="120"/>
      <c r="HQ341" s="120"/>
      <c r="HR341" s="120"/>
      <c r="HS341" s="120"/>
      <c r="HT341" s="120"/>
      <c r="HU341" s="120"/>
      <c r="HV341" s="120"/>
      <c r="HW341" s="120"/>
      <c r="HX341" s="120"/>
      <c r="HY341" s="120"/>
      <c r="HZ341" s="120"/>
      <c r="IA341" s="120"/>
      <c r="IB341" s="120"/>
      <c r="IC341" s="120"/>
      <c r="ID341" s="120"/>
      <c r="IE341" s="120"/>
      <c r="IF341" s="120"/>
      <c r="IG341" s="120"/>
      <c r="IH341" s="120"/>
      <c r="II341" s="120"/>
      <c r="IJ341" s="120"/>
      <c r="IK341" s="120"/>
      <c r="IL341" s="120"/>
      <c r="IM341" s="120"/>
    </row>
    <row r="342" spans="2:247" ht="47.25" x14ac:dyDescent="0.25">
      <c r="B342" s="306" t="s">
        <v>133</v>
      </c>
      <c r="C342" s="50" t="s">
        <v>52</v>
      </c>
      <c r="D342" s="90">
        <v>81</v>
      </c>
      <c r="E342" s="90">
        <f>9/11*100</f>
        <v>81.818181818181827</v>
      </c>
      <c r="F342" s="64" t="str">
        <f t="shared" si="9"/>
        <v>100</v>
      </c>
      <c r="G342" s="688"/>
      <c r="H342" s="80" t="s">
        <v>1224</v>
      </c>
      <c r="I342" s="718"/>
      <c r="J342" s="718"/>
      <c r="K342" s="718"/>
      <c r="L342" s="718"/>
      <c r="M342" s="718"/>
      <c r="N342" s="718"/>
      <c r="O342" s="718"/>
      <c r="P342" s="718"/>
      <c r="Q342" s="718"/>
      <c r="R342" s="718"/>
      <c r="S342" s="718"/>
      <c r="T342" s="718"/>
      <c r="U342" s="718"/>
      <c r="V342" s="718"/>
      <c r="W342" s="718"/>
      <c r="X342" s="718"/>
      <c r="Y342" s="718"/>
      <c r="Z342" s="718"/>
      <c r="AA342" s="718"/>
      <c r="AB342" s="718"/>
      <c r="AC342" s="718"/>
      <c r="AD342" s="718"/>
      <c r="AE342" s="718"/>
      <c r="AF342" s="718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20"/>
      <c r="AV342" s="120"/>
      <c r="AW342" s="120"/>
      <c r="AX342" s="120"/>
      <c r="AY342" s="120"/>
      <c r="AZ342" s="120"/>
      <c r="BA342" s="120"/>
      <c r="BB342" s="120"/>
      <c r="BC342" s="120"/>
      <c r="BD342" s="120"/>
      <c r="BE342" s="120"/>
      <c r="BF342" s="120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20"/>
      <c r="BS342" s="120"/>
      <c r="BT342" s="120"/>
      <c r="BU342" s="120"/>
      <c r="BV342" s="120"/>
      <c r="BW342" s="120"/>
      <c r="BX342" s="120"/>
      <c r="BY342" s="120"/>
      <c r="BZ342" s="120"/>
      <c r="CA342" s="120"/>
      <c r="CB342" s="120"/>
      <c r="CC342" s="120"/>
      <c r="CD342" s="120"/>
      <c r="CE342" s="120"/>
      <c r="CF342" s="120"/>
      <c r="CG342" s="120"/>
      <c r="CH342" s="120"/>
      <c r="CI342" s="120"/>
      <c r="CJ342" s="120"/>
      <c r="CK342" s="120"/>
      <c r="CL342" s="120"/>
      <c r="CM342" s="120"/>
      <c r="CN342" s="120"/>
      <c r="CO342" s="120"/>
      <c r="CP342" s="120"/>
      <c r="CQ342" s="120"/>
      <c r="CR342" s="120"/>
      <c r="CS342" s="120"/>
      <c r="CT342" s="120"/>
      <c r="CU342" s="120"/>
      <c r="CV342" s="120"/>
      <c r="CW342" s="120"/>
      <c r="CX342" s="120"/>
      <c r="CY342" s="120"/>
      <c r="CZ342" s="120"/>
      <c r="DA342" s="120"/>
      <c r="DB342" s="120"/>
      <c r="DC342" s="120"/>
      <c r="DD342" s="120"/>
      <c r="DE342" s="120"/>
      <c r="DF342" s="120"/>
      <c r="DG342" s="120"/>
      <c r="DH342" s="120"/>
      <c r="DI342" s="120"/>
      <c r="DJ342" s="120"/>
      <c r="DK342" s="120"/>
      <c r="DL342" s="120"/>
      <c r="DM342" s="120"/>
      <c r="DN342" s="120"/>
      <c r="DO342" s="120"/>
      <c r="DP342" s="120"/>
      <c r="DQ342" s="120"/>
      <c r="DR342" s="120"/>
      <c r="DS342" s="120"/>
      <c r="DT342" s="120"/>
      <c r="DU342" s="120"/>
      <c r="DV342" s="120"/>
      <c r="DW342" s="120"/>
      <c r="DX342" s="120"/>
      <c r="DY342" s="120"/>
      <c r="DZ342" s="120"/>
      <c r="EA342" s="120"/>
      <c r="EB342" s="120"/>
      <c r="EC342" s="120"/>
      <c r="ED342" s="120"/>
      <c r="EE342" s="120"/>
      <c r="EF342" s="120"/>
      <c r="EG342" s="120"/>
      <c r="EH342" s="120"/>
      <c r="EI342" s="120"/>
      <c r="EJ342" s="120"/>
      <c r="EK342" s="120"/>
      <c r="EL342" s="120"/>
      <c r="EM342" s="120"/>
      <c r="EN342" s="120"/>
      <c r="EO342" s="120"/>
      <c r="EP342" s="120"/>
      <c r="EQ342" s="120"/>
      <c r="ER342" s="120"/>
      <c r="ES342" s="120"/>
      <c r="ET342" s="120"/>
      <c r="EU342" s="120"/>
      <c r="EV342" s="120"/>
      <c r="EW342" s="120"/>
      <c r="EX342" s="120"/>
      <c r="EY342" s="120"/>
      <c r="EZ342" s="120"/>
      <c r="FA342" s="120"/>
      <c r="FB342" s="120"/>
      <c r="FC342" s="120"/>
      <c r="FD342" s="120"/>
      <c r="FE342" s="120"/>
      <c r="FF342" s="120"/>
      <c r="FG342" s="120"/>
      <c r="FH342" s="120"/>
      <c r="FI342" s="120"/>
      <c r="FJ342" s="120"/>
      <c r="FK342" s="120"/>
      <c r="FL342" s="120"/>
      <c r="FM342" s="120"/>
      <c r="FN342" s="120"/>
      <c r="FO342" s="120"/>
      <c r="FP342" s="120"/>
      <c r="FQ342" s="120"/>
      <c r="FR342" s="120"/>
      <c r="FS342" s="120"/>
      <c r="FT342" s="120"/>
      <c r="FU342" s="120"/>
      <c r="FV342" s="120"/>
      <c r="FW342" s="120"/>
      <c r="FX342" s="120"/>
      <c r="FY342" s="120"/>
      <c r="FZ342" s="120"/>
      <c r="GA342" s="120"/>
      <c r="GB342" s="120"/>
      <c r="GC342" s="120"/>
      <c r="GD342" s="120"/>
      <c r="GE342" s="120"/>
      <c r="GF342" s="120"/>
      <c r="GG342" s="120"/>
      <c r="GH342" s="120"/>
      <c r="GI342" s="120"/>
      <c r="GJ342" s="120"/>
      <c r="GK342" s="120"/>
      <c r="GL342" s="120"/>
      <c r="GM342" s="120"/>
      <c r="GN342" s="120"/>
      <c r="GO342" s="120"/>
      <c r="GP342" s="120"/>
      <c r="GQ342" s="120"/>
      <c r="GR342" s="120"/>
      <c r="GS342" s="120"/>
      <c r="GT342" s="120"/>
      <c r="GU342" s="120"/>
      <c r="GV342" s="120"/>
      <c r="GW342" s="120"/>
      <c r="GX342" s="120"/>
      <c r="GY342" s="120"/>
      <c r="GZ342" s="120"/>
      <c r="HA342" s="120"/>
      <c r="HB342" s="120"/>
      <c r="HC342" s="120"/>
      <c r="HD342" s="120"/>
      <c r="HE342" s="120"/>
      <c r="HF342" s="120"/>
      <c r="HG342" s="120"/>
      <c r="HH342" s="120"/>
      <c r="HI342" s="120"/>
      <c r="HJ342" s="120"/>
      <c r="HK342" s="120"/>
      <c r="HL342" s="120"/>
      <c r="HM342" s="120"/>
      <c r="HN342" s="120"/>
      <c r="HO342" s="120"/>
      <c r="HP342" s="120"/>
      <c r="HQ342" s="120"/>
      <c r="HR342" s="120"/>
      <c r="HS342" s="120"/>
      <c r="HT342" s="120"/>
      <c r="HU342" s="120"/>
      <c r="HV342" s="120"/>
      <c r="HW342" s="120"/>
      <c r="HX342" s="120"/>
      <c r="HY342" s="120"/>
      <c r="HZ342" s="120"/>
      <c r="IA342" s="120"/>
      <c r="IB342" s="120"/>
      <c r="IC342" s="120"/>
      <c r="ID342" s="120"/>
      <c r="IE342" s="120"/>
      <c r="IF342" s="120"/>
      <c r="IG342" s="120"/>
      <c r="IH342" s="120"/>
      <c r="II342" s="120"/>
      <c r="IJ342" s="120"/>
      <c r="IK342" s="120"/>
      <c r="IL342" s="120"/>
      <c r="IM342" s="120"/>
    </row>
    <row r="343" spans="2:247" ht="31.5" x14ac:dyDescent="0.25">
      <c r="B343" s="306" t="s">
        <v>134</v>
      </c>
      <c r="C343" s="50" t="s">
        <v>52</v>
      </c>
      <c r="D343" s="90">
        <v>19</v>
      </c>
      <c r="E343" s="90">
        <f>2/11*100</f>
        <v>18.181818181818183</v>
      </c>
      <c r="F343" s="64">
        <f t="shared" si="9"/>
        <v>95.693779904306226</v>
      </c>
      <c r="G343" s="688"/>
      <c r="H343" s="80" t="s">
        <v>1225</v>
      </c>
      <c r="I343" s="718"/>
      <c r="J343" s="718"/>
      <c r="K343" s="718"/>
      <c r="L343" s="718"/>
      <c r="M343" s="718"/>
      <c r="N343" s="718"/>
      <c r="O343" s="718"/>
      <c r="P343" s="718"/>
      <c r="Q343" s="718"/>
      <c r="R343" s="718"/>
      <c r="S343" s="718"/>
      <c r="T343" s="718"/>
      <c r="U343" s="718"/>
      <c r="V343" s="718"/>
      <c r="W343" s="718"/>
      <c r="X343" s="718"/>
      <c r="Y343" s="718"/>
      <c r="Z343" s="718"/>
      <c r="AA343" s="718"/>
      <c r="AB343" s="718"/>
      <c r="AC343" s="718"/>
      <c r="AD343" s="718"/>
      <c r="AE343" s="718"/>
      <c r="AF343" s="718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20"/>
      <c r="AV343" s="120"/>
      <c r="AW343" s="120"/>
      <c r="AX343" s="120"/>
      <c r="AY343" s="120"/>
      <c r="AZ343" s="120"/>
      <c r="BA343" s="120"/>
      <c r="BB343" s="120"/>
      <c r="BC343" s="120"/>
      <c r="BD343" s="120"/>
      <c r="BE343" s="120"/>
      <c r="BF343" s="120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20"/>
      <c r="BS343" s="120"/>
      <c r="BT343" s="120"/>
      <c r="BU343" s="120"/>
      <c r="BV343" s="120"/>
      <c r="BW343" s="120"/>
      <c r="BX343" s="120"/>
      <c r="BY343" s="120"/>
      <c r="BZ343" s="120"/>
      <c r="CA343" s="120"/>
      <c r="CB343" s="120"/>
      <c r="CC343" s="120"/>
      <c r="CD343" s="120"/>
      <c r="CE343" s="120"/>
      <c r="CF343" s="120"/>
      <c r="CG343" s="120"/>
      <c r="CH343" s="120"/>
      <c r="CI343" s="120"/>
      <c r="CJ343" s="120"/>
      <c r="CK343" s="120"/>
      <c r="CL343" s="120"/>
      <c r="CM343" s="120"/>
      <c r="CN343" s="120"/>
      <c r="CO343" s="120"/>
      <c r="CP343" s="120"/>
      <c r="CQ343" s="120"/>
      <c r="CR343" s="120"/>
      <c r="CS343" s="120"/>
      <c r="CT343" s="120"/>
      <c r="CU343" s="120"/>
      <c r="CV343" s="120"/>
      <c r="CW343" s="120"/>
      <c r="CX343" s="120"/>
      <c r="CY343" s="120"/>
      <c r="CZ343" s="120"/>
      <c r="DA343" s="120"/>
      <c r="DB343" s="120"/>
      <c r="DC343" s="120"/>
      <c r="DD343" s="120"/>
      <c r="DE343" s="120"/>
      <c r="DF343" s="120"/>
      <c r="DG343" s="120"/>
      <c r="DH343" s="120"/>
      <c r="DI343" s="120"/>
      <c r="DJ343" s="120"/>
      <c r="DK343" s="120"/>
      <c r="DL343" s="120"/>
      <c r="DM343" s="120"/>
      <c r="DN343" s="120"/>
      <c r="DO343" s="120"/>
      <c r="DP343" s="120"/>
      <c r="DQ343" s="120"/>
      <c r="DR343" s="120"/>
      <c r="DS343" s="120"/>
      <c r="DT343" s="120"/>
      <c r="DU343" s="120"/>
      <c r="DV343" s="120"/>
      <c r="DW343" s="120"/>
      <c r="DX343" s="120"/>
      <c r="DY343" s="120"/>
      <c r="DZ343" s="120"/>
      <c r="EA343" s="120"/>
      <c r="EB343" s="120"/>
      <c r="EC343" s="120"/>
      <c r="ED343" s="120"/>
      <c r="EE343" s="120"/>
      <c r="EF343" s="120"/>
      <c r="EG343" s="120"/>
      <c r="EH343" s="120"/>
      <c r="EI343" s="120"/>
      <c r="EJ343" s="120"/>
      <c r="EK343" s="120"/>
      <c r="EL343" s="120"/>
      <c r="EM343" s="120"/>
      <c r="EN343" s="120"/>
      <c r="EO343" s="120"/>
      <c r="EP343" s="120"/>
      <c r="EQ343" s="120"/>
      <c r="ER343" s="120"/>
      <c r="ES343" s="120"/>
      <c r="ET343" s="120"/>
      <c r="EU343" s="120"/>
      <c r="EV343" s="120"/>
      <c r="EW343" s="120"/>
      <c r="EX343" s="120"/>
      <c r="EY343" s="120"/>
      <c r="EZ343" s="120"/>
      <c r="FA343" s="120"/>
      <c r="FB343" s="120"/>
      <c r="FC343" s="120"/>
      <c r="FD343" s="120"/>
      <c r="FE343" s="120"/>
      <c r="FF343" s="120"/>
      <c r="FG343" s="120"/>
      <c r="FH343" s="120"/>
      <c r="FI343" s="120"/>
      <c r="FJ343" s="120"/>
      <c r="FK343" s="120"/>
      <c r="FL343" s="120"/>
      <c r="FM343" s="120"/>
      <c r="FN343" s="120"/>
      <c r="FO343" s="120"/>
      <c r="FP343" s="120"/>
      <c r="FQ343" s="120"/>
      <c r="FR343" s="120"/>
      <c r="FS343" s="120"/>
      <c r="FT343" s="120"/>
      <c r="FU343" s="120"/>
      <c r="FV343" s="120"/>
      <c r="FW343" s="120"/>
      <c r="FX343" s="120"/>
      <c r="FY343" s="120"/>
      <c r="FZ343" s="120"/>
      <c r="GA343" s="120"/>
      <c r="GB343" s="120"/>
      <c r="GC343" s="120"/>
      <c r="GD343" s="120"/>
      <c r="GE343" s="120"/>
      <c r="GF343" s="120"/>
      <c r="GG343" s="120"/>
      <c r="GH343" s="120"/>
      <c r="GI343" s="120"/>
      <c r="GJ343" s="120"/>
      <c r="GK343" s="120"/>
      <c r="GL343" s="120"/>
      <c r="GM343" s="120"/>
      <c r="GN343" s="120"/>
      <c r="GO343" s="120"/>
      <c r="GP343" s="120"/>
      <c r="GQ343" s="120"/>
      <c r="GR343" s="120"/>
      <c r="GS343" s="120"/>
      <c r="GT343" s="120"/>
      <c r="GU343" s="120"/>
      <c r="GV343" s="120"/>
      <c r="GW343" s="120"/>
      <c r="GX343" s="120"/>
      <c r="GY343" s="120"/>
      <c r="GZ343" s="120"/>
      <c r="HA343" s="120"/>
      <c r="HB343" s="120"/>
      <c r="HC343" s="120"/>
      <c r="HD343" s="120"/>
      <c r="HE343" s="120"/>
      <c r="HF343" s="120"/>
      <c r="HG343" s="120"/>
      <c r="HH343" s="120"/>
      <c r="HI343" s="120"/>
      <c r="HJ343" s="120"/>
      <c r="HK343" s="120"/>
      <c r="HL343" s="120"/>
      <c r="HM343" s="120"/>
      <c r="HN343" s="120"/>
      <c r="HO343" s="120"/>
      <c r="HP343" s="120"/>
      <c r="HQ343" s="120"/>
      <c r="HR343" s="120"/>
      <c r="HS343" s="120"/>
      <c r="HT343" s="120"/>
      <c r="HU343" s="120"/>
      <c r="HV343" s="120"/>
      <c r="HW343" s="120"/>
      <c r="HX343" s="120"/>
      <c r="HY343" s="120"/>
      <c r="HZ343" s="120"/>
      <c r="IA343" s="120"/>
      <c r="IB343" s="120"/>
      <c r="IC343" s="120"/>
      <c r="ID343" s="120"/>
      <c r="IE343" s="120"/>
      <c r="IF343" s="120"/>
      <c r="IG343" s="120"/>
      <c r="IH343" s="120"/>
      <c r="II343" s="120"/>
      <c r="IJ343" s="120"/>
      <c r="IK343" s="120"/>
      <c r="IL343" s="120"/>
      <c r="IM343" s="120"/>
    </row>
    <row r="344" spans="2:247" ht="47.25" x14ac:dyDescent="0.25">
      <c r="B344" s="306" t="s">
        <v>135</v>
      </c>
      <c r="C344" s="50" t="s">
        <v>52</v>
      </c>
      <c r="D344" s="90">
        <v>17</v>
      </c>
      <c r="E344" s="90">
        <f>2/11*100</f>
        <v>18.181818181818183</v>
      </c>
      <c r="F344" s="64" t="str">
        <f t="shared" si="9"/>
        <v>100</v>
      </c>
      <c r="G344" s="688"/>
      <c r="H344" s="80" t="s">
        <v>1226</v>
      </c>
      <c r="I344" s="718"/>
      <c r="J344" s="718"/>
      <c r="K344" s="718"/>
      <c r="L344" s="718"/>
      <c r="M344" s="718"/>
      <c r="N344" s="718"/>
      <c r="O344" s="718"/>
      <c r="P344" s="718"/>
      <c r="Q344" s="718"/>
      <c r="R344" s="718"/>
      <c r="S344" s="718"/>
      <c r="T344" s="718"/>
      <c r="U344" s="718"/>
      <c r="V344" s="718"/>
      <c r="W344" s="718"/>
      <c r="X344" s="718"/>
      <c r="Y344" s="718"/>
      <c r="Z344" s="718"/>
      <c r="AA344" s="718"/>
      <c r="AB344" s="718"/>
      <c r="AC344" s="718"/>
      <c r="AD344" s="718"/>
      <c r="AE344" s="718"/>
      <c r="AF344" s="718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20"/>
      <c r="AV344" s="120"/>
      <c r="AW344" s="120"/>
      <c r="AX344" s="120"/>
      <c r="AY344" s="120"/>
      <c r="AZ344" s="120"/>
      <c r="BA344" s="120"/>
      <c r="BB344" s="120"/>
      <c r="BC344" s="120"/>
      <c r="BD344" s="120"/>
      <c r="BE344" s="120"/>
      <c r="BF344" s="120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20"/>
      <c r="BS344" s="120"/>
      <c r="BT344" s="120"/>
      <c r="BU344" s="120"/>
      <c r="BV344" s="120"/>
      <c r="BW344" s="120"/>
      <c r="BX344" s="120"/>
      <c r="BY344" s="120"/>
      <c r="BZ344" s="120"/>
      <c r="CA344" s="120"/>
      <c r="CB344" s="120"/>
      <c r="CC344" s="120"/>
      <c r="CD344" s="120"/>
      <c r="CE344" s="120"/>
      <c r="CF344" s="120"/>
      <c r="CG344" s="120"/>
      <c r="CH344" s="120"/>
      <c r="CI344" s="120"/>
      <c r="CJ344" s="120"/>
      <c r="CK344" s="120"/>
      <c r="CL344" s="120"/>
      <c r="CM344" s="120"/>
      <c r="CN344" s="120"/>
      <c r="CO344" s="120"/>
      <c r="CP344" s="120"/>
      <c r="CQ344" s="120"/>
      <c r="CR344" s="120"/>
      <c r="CS344" s="120"/>
      <c r="CT344" s="120"/>
      <c r="CU344" s="120"/>
      <c r="CV344" s="120"/>
      <c r="CW344" s="120"/>
      <c r="CX344" s="120"/>
      <c r="CY344" s="120"/>
      <c r="CZ344" s="120"/>
      <c r="DA344" s="120"/>
      <c r="DB344" s="120"/>
      <c r="DC344" s="120"/>
      <c r="DD344" s="120"/>
      <c r="DE344" s="120"/>
      <c r="DF344" s="120"/>
      <c r="DG344" s="120"/>
      <c r="DH344" s="120"/>
      <c r="DI344" s="120"/>
      <c r="DJ344" s="120"/>
      <c r="DK344" s="120"/>
      <c r="DL344" s="120"/>
      <c r="DM344" s="120"/>
      <c r="DN344" s="120"/>
      <c r="DO344" s="120"/>
      <c r="DP344" s="120"/>
      <c r="DQ344" s="120"/>
      <c r="DR344" s="120"/>
      <c r="DS344" s="120"/>
      <c r="DT344" s="120"/>
      <c r="DU344" s="120"/>
      <c r="DV344" s="120"/>
      <c r="DW344" s="120"/>
      <c r="DX344" s="120"/>
      <c r="DY344" s="120"/>
      <c r="DZ344" s="120"/>
      <c r="EA344" s="120"/>
      <c r="EB344" s="120"/>
      <c r="EC344" s="120"/>
      <c r="ED344" s="120"/>
      <c r="EE344" s="120"/>
      <c r="EF344" s="120"/>
      <c r="EG344" s="120"/>
      <c r="EH344" s="120"/>
      <c r="EI344" s="120"/>
      <c r="EJ344" s="120"/>
      <c r="EK344" s="120"/>
      <c r="EL344" s="120"/>
      <c r="EM344" s="120"/>
      <c r="EN344" s="120"/>
      <c r="EO344" s="120"/>
      <c r="EP344" s="120"/>
      <c r="EQ344" s="120"/>
      <c r="ER344" s="120"/>
      <c r="ES344" s="120"/>
      <c r="ET344" s="120"/>
      <c r="EU344" s="120"/>
      <c r="EV344" s="120"/>
      <c r="EW344" s="120"/>
      <c r="EX344" s="120"/>
      <c r="EY344" s="120"/>
      <c r="EZ344" s="120"/>
      <c r="FA344" s="120"/>
      <c r="FB344" s="120"/>
      <c r="FC344" s="120"/>
      <c r="FD344" s="120"/>
      <c r="FE344" s="120"/>
      <c r="FF344" s="120"/>
      <c r="FG344" s="120"/>
      <c r="FH344" s="120"/>
      <c r="FI344" s="120"/>
      <c r="FJ344" s="120"/>
      <c r="FK344" s="120"/>
      <c r="FL344" s="120"/>
      <c r="FM344" s="120"/>
      <c r="FN344" s="120"/>
      <c r="FO344" s="120"/>
      <c r="FP344" s="120"/>
      <c r="FQ344" s="120"/>
      <c r="FR344" s="120"/>
      <c r="FS344" s="120"/>
      <c r="FT344" s="120"/>
      <c r="FU344" s="120"/>
      <c r="FV344" s="120"/>
      <c r="FW344" s="120"/>
      <c r="FX344" s="120"/>
      <c r="FY344" s="120"/>
      <c r="FZ344" s="120"/>
      <c r="GA344" s="120"/>
      <c r="GB344" s="120"/>
      <c r="GC344" s="120"/>
      <c r="GD344" s="120"/>
      <c r="GE344" s="120"/>
      <c r="GF344" s="120"/>
      <c r="GG344" s="120"/>
      <c r="GH344" s="120"/>
      <c r="GI344" s="120"/>
      <c r="GJ344" s="120"/>
      <c r="GK344" s="120"/>
      <c r="GL344" s="120"/>
      <c r="GM344" s="120"/>
      <c r="GN344" s="120"/>
      <c r="GO344" s="120"/>
      <c r="GP344" s="120"/>
      <c r="GQ344" s="120"/>
      <c r="GR344" s="120"/>
      <c r="GS344" s="120"/>
      <c r="GT344" s="120"/>
      <c r="GU344" s="120"/>
      <c r="GV344" s="120"/>
      <c r="GW344" s="120"/>
      <c r="GX344" s="120"/>
      <c r="GY344" s="120"/>
      <c r="GZ344" s="120"/>
      <c r="HA344" s="120"/>
      <c r="HB344" s="120"/>
      <c r="HC344" s="120"/>
      <c r="HD344" s="120"/>
      <c r="HE344" s="120"/>
      <c r="HF344" s="120"/>
      <c r="HG344" s="120"/>
      <c r="HH344" s="120"/>
      <c r="HI344" s="120"/>
      <c r="HJ344" s="120"/>
      <c r="HK344" s="120"/>
      <c r="HL344" s="120"/>
      <c r="HM344" s="120"/>
      <c r="HN344" s="120"/>
      <c r="HO344" s="120"/>
      <c r="HP344" s="120"/>
      <c r="HQ344" s="120"/>
      <c r="HR344" s="120"/>
      <c r="HS344" s="120"/>
      <c r="HT344" s="120"/>
      <c r="HU344" s="120"/>
      <c r="HV344" s="120"/>
      <c r="HW344" s="120"/>
      <c r="HX344" s="120"/>
      <c r="HY344" s="120"/>
      <c r="HZ344" s="120"/>
      <c r="IA344" s="120"/>
      <c r="IB344" s="120"/>
      <c r="IC344" s="120"/>
      <c r="ID344" s="120"/>
      <c r="IE344" s="120"/>
      <c r="IF344" s="120"/>
      <c r="IG344" s="120"/>
      <c r="IH344" s="120"/>
      <c r="II344" s="120"/>
      <c r="IJ344" s="120"/>
      <c r="IK344" s="120"/>
      <c r="IL344" s="120"/>
      <c r="IM344" s="120"/>
    </row>
    <row r="345" spans="2:247" ht="47.25" x14ac:dyDescent="0.25">
      <c r="B345" s="306" t="s">
        <v>136</v>
      </c>
      <c r="C345" s="50" t="s">
        <v>52</v>
      </c>
      <c r="D345" s="90">
        <v>50</v>
      </c>
      <c r="E345" s="310">
        <f>11/11*100</f>
        <v>100</v>
      </c>
      <c r="F345" s="64" t="str">
        <f t="shared" si="9"/>
        <v>100</v>
      </c>
      <c r="G345" s="688"/>
      <c r="H345" s="80" t="s">
        <v>1227</v>
      </c>
      <c r="I345" s="718"/>
      <c r="J345" s="718"/>
      <c r="K345" s="718"/>
      <c r="L345" s="718"/>
      <c r="M345" s="718"/>
      <c r="N345" s="718"/>
      <c r="O345" s="718"/>
      <c r="P345" s="718"/>
      <c r="Q345" s="718"/>
      <c r="R345" s="718"/>
      <c r="S345" s="718"/>
      <c r="T345" s="718"/>
      <c r="U345" s="718"/>
      <c r="V345" s="718"/>
      <c r="W345" s="718"/>
      <c r="X345" s="718"/>
      <c r="Y345" s="718"/>
      <c r="Z345" s="718"/>
      <c r="AA345" s="718"/>
      <c r="AB345" s="718"/>
      <c r="AC345" s="718"/>
      <c r="AD345" s="718"/>
      <c r="AE345" s="718"/>
      <c r="AF345" s="718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20"/>
      <c r="AV345" s="120"/>
      <c r="AW345" s="120"/>
      <c r="AX345" s="120"/>
      <c r="AY345" s="120"/>
      <c r="AZ345" s="120"/>
      <c r="BA345" s="120"/>
      <c r="BB345" s="120"/>
      <c r="BC345" s="120"/>
      <c r="BD345" s="120"/>
      <c r="BE345" s="120"/>
      <c r="BF345" s="120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20"/>
      <c r="BS345" s="120"/>
      <c r="BT345" s="120"/>
      <c r="BU345" s="120"/>
      <c r="BV345" s="120"/>
      <c r="BW345" s="120"/>
      <c r="BX345" s="120"/>
      <c r="BY345" s="120"/>
      <c r="BZ345" s="120"/>
      <c r="CA345" s="120"/>
      <c r="CB345" s="120"/>
      <c r="CC345" s="120"/>
      <c r="CD345" s="120"/>
      <c r="CE345" s="120"/>
      <c r="CF345" s="120"/>
      <c r="CG345" s="120"/>
      <c r="CH345" s="120"/>
      <c r="CI345" s="120"/>
      <c r="CJ345" s="120"/>
      <c r="CK345" s="120"/>
      <c r="CL345" s="120"/>
      <c r="CM345" s="120"/>
      <c r="CN345" s="120"/>
      <c r="CO345" s="120"/>
      <c r="CP345" s="120"/>
      <c r="CQ345" s="120"/>
      <c r="CR345" s="120"/>
      <c r="CS345" s="120"/>
      <c r="CT345" s="120"/>
      <c r="CU345" s="120"/>
      <c r="CV345" s="120"/>
      <c r="CW345" s="120"/>
      <c r="CX345" s="120"/>
      <c r="CY345" s="120"/>
      <c r="CZ345" s="120"/>
      <c r="DA345" s="120"/>
      <c r="DB345" s="120"/>
      <c r="DC345" s="120"/>
      <c r="DD345" s="120"/>
      <c r="DE345" s="120"/>
      <c r="DF345" s="120"/>
      <c r="DG345" s="120"/>
      <c r="DH345" s="120"/>
      <c r="DI345" s="120"/>
      <c r="DJ345" s="120"/>
      <c r="DK345" s="120"/>
      <c r="DL345" s="120"/>
      <c r="DM345" s="120"/>
      <c r="DN345" s="120"/>
      <c r="DO345" s="120"/>
      <c r="DP345" s="120"/>
      <c r="DQ345" s="120"/>
      <c r="DR345" s="120"/>
      <c r="DS345" s="120"/>
      <c r="DT345" s="120"/>
      <c r="DU345" s="120"/>
      <c r="DV345" s="120"/>
      <c r="DW345" s="120"/>
      <c r="DX345" s="120"/>
      <c r="DY345" s="120"/>
      <c r="DZ345" s="120"/>
      <c r="EA345" s="120"/>
      <c r="EB345" s="120"/>
      <c r="EC345" s="120"/>
      <c r="ED345" s="120"/>
      <c r="EE345" s="120"/>
      <c r="EF345" s="120"/>
      <c r="EG345" s="120"/>
      <c r="EH345" s="120"/>
      <c r="EI345" s="120"/>
      <c r="EJ345" s="120"/>
      <c r="EK345" s="120"/>
      <c r="EL345" s="120"/>
      <c r="EM345" s="120"/>
      <c r="EN345" s="120"/>
      <c r="EO345" s="120"/>
      <c r="EP345" s="120"/>
      <c r="EQ345" s="120"/>
      <c r="ER345" s="120"/>
      <c r="ES345" s="120"/>
      <c r="ET345" s="120"/>
      <c r="EU345" s="120"/>
      <c r="EV345" s="120"/>
      <c r="EW345" s="120"/>
      <c r="EX345" s="120"/>
      <c r="EY345" s="120"/>
      <c r="EZ345" s="120"/>
      <c r="FA345" s="120"/>
      <c r="FB345" s="120"/>
      <c r="FC345" s="120"/>
      <c r="FD345" s="120"/>
      <c r="FE345" s="120"/>
      <c r="FF345" s="120"/>
      <c r="FG345" s="120"/>
      <c r="FH345" s="120"/>
      <c r="FI345" s="120"/>
      <c r="FJ345" s="120"/>
      <c r="FK345" s="120"/>
      <c r="FL345" s="120"/>
      <c r="FM345" s="120"/>
      <c r="FN345" s="120"/>
      <c r="FO345" s="120"/>
      <c r="FP345" s="120"/>
      <c r="FQ345" s="120"/>
      <c r="FR345" s="120"/>
      <c r="FS345" s="120"/>
      <c r="FT345" s="120"/>
      <c r="FU345" s="120"/>
      <c r="FV345" s="120"/>
      <c r="FW345" s="120"/>
      <c r="FX345" s="120"/>
      <c r="FY345" s="120"/>
      <c r="FZ345" s="120"/>
      <c r="GA345" s="120"/>
      <c r="GB345" s="120"/>
      <c r="GC345" s="120"/>
      <c r="GD345" s="120"/>
      <c r="GE345" s="120"/>
      <c r="GF345" s="120"/>
      <c r="GG345" s="120"/>
      <c r="GH345" s="120"/>
      <c r="GI345" s="120"/>
      <c r="GJ345" s="120"/>
      <c r="GK345" s="120"/>
      <c r="GL345" s="120"/>
      <c r="GM345" s="120"/>
      <c r="GN345" s="120"/>
      <c r="GO345" s="120"/>
      <c r="GP345" s="120"/>
      <c r="GQ345" s="120"/>
      <c r="GR345" s="120"/>
      <c r="GS345" s="120"/>
      <c r="GT345" s="120"/>
      <c r="GU345" s="120"/>
      <c r="GV345" s="120"/>
      <c r="GW345" s="120"/>
      <c r="GX345" s="120"/>
      <c r="GY345" s="120"/>
      <c r="GZ345" s="120"/>
      <c r="HA345" s="120"/>
      <c r="HB345" s="120"/>
      <c r="HC345" s="120"/>
      <c r="HD345" s="120"/>
      <c r="HE345" s="120"/>
      <c r="HF345" s="120"/>
      <c r="HG345" s="120"/>
      <c r="HH345" s="120"/>
      <c r="HI345" s="120"/>
      <c r="HJ345" s="120"/>
      <c r="HK345" s="120"/>
      <c r="HL345" s="120"/>
      <c r="HM345" s="120"/>
      <c r="HN345" s="120"/>
      <c r="HO345" s="120"/>
      <c r="HP345" s="120"/>
      <c r="HQ345" s="120"/>
      <c r="HR345" s="120"/>
      <c r="HS345" s="120"/>
      <c r="HT345" s="120"/>
      <c r="HU345" s="120"/>
      <c r="HV345" s="120"/>
      <c r="HW345" s="120"/>
      <c r="HX345" s="120"/>
      <c r="HY345" s="120"/>
      <c r="HZ345" s="120"/>
      <c r="IA345" s="120"/>
      <c r="IB345" s="120"/>
      <c r="IC345" s="120"/>
      <c r="ID345" s="120"/>
      <c r="IE345" s="120"/>
      <c r="IF345" s="120"/>
      <c r="IG345" s="120"/>
      <c r="IH345" s="120"/>
      <c r="II345" s="120"/>
      <c r="IJ345" s="120"/>
      <c r="IK345" s="120"/>
      <c r="IL345" s="120"/>
      <c r="IM345" s="120"/>
    </row>
    <row r="346" spans="2:247" ht="47.25" x14ac:dyDescent="0.25">
      <c r="B346" s="306" t="s">
        <v>137</v>
      </c>
      <c r="C346" s="50" t="s">
        <v>122</v>
      </c>
      <c r="D346" s="111" t="s">
        <v>138</v>
      </c>
      <c r="E346" s="111">
        <v>1</v>
      </c>
      <c r="F346" s="64">
        <v>100</v>
      </c>
      <c r="G346" s="688"/>
      <c r="H346" s="80" t="s">
        <v>1228</v>
      </c>
      <c r="I346" s="718"/>
      <c r="J346" s="718"/>
      <c r="K346" s="718"/>
      <c r="L346" s="718"/>
      <c r="M346" s="718"/>
      <c r="N346" s="718"/>
      <c r="O346" s="718"/>
      <c r="P346" s="718"/>
      <c r="Q346" s="718"/>
      <c r="R346" s="718"/>
      <c r="S346" s="718"/>
      <c r="T346" s="718"/>
      <c r="U346" s="718"/>
      <c r="V346" s="718"/>
      <c r="W346" s="718"/>
      <c r="X346" s="718"/>
      <c r="Y346" s="718"/>
      <c r="Z346" s="718"/>
      <c r="AA346" s="718"/>
      <c r="AB346" s="718"/>
      <c r="AC346" s="718"/>
      <c r="AD346" s="718"/>
      <c r="AE346" s="718"/>
      <c r="AF346" s="718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20"/>
      <c r="AV346" s="120"/>
      <c r="AW346" s="120"/>
      <c r="AX346" s="120"/>
      <c r="AY346" s="120"/>
      <c r="AZ346" s="120"/>
      <c r="BA346" s="120"/>
      <c r="BB346" s="120"/>
      <c r="BC346" s="120"/>
      <c r="BD346" s="120"/>
      <c r="BE346" s="120"/>
      <c r="BF346" s="120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20"/>
      <c r="BS346" s="120"/>
      <c r="BT346" s="120"/>
      <c r="BU346" s="120"/>
      <c r="BV346" s="120"/>
      <c r="BW346" s="120"/>
      <c r="BX346" s="120"/>
      <c r="BY346" s="120"/>
      <c r="BZ346" s="120"/>
      <c r="CA346" s="120"/>
      <c r="CB346" s="120"/>
      <c r="CC346" s="120"/>
      <c r="CD346" s="120"/>
      <c r="CE346" s="120"/>
      <c r="CF346" s="120"/>
      <c r="CG346" s="120"/>
      <c r="CH346" s="120"/>
      <c r="CI346" s="120"/>
      <c r="CJ346" s="120"/>
      <c r="CK346" s="120"/>
      <c r="CL346" s="120"/>
      <c r="CM346" s="120"/>
      <c r="CN346" s="120"/>
      <c r="CO346" s="120"/>
      <c r="CP346" s="120"/>
      <c r="CQ346" s="120"/>
      <c r="CR346" s="120"/>
      <c r="CS346" s="120"/>
      <c r="CT346" s="120"/>
      <c r="CU346" s="120"/>
      <c r="CV346" s="120"/>
      <c r="CW346" s="120"/>
      <c r="CX346" s="120"/>
      <c r="CY346" s="120"/>
      <c r="CZ346" s="120"/>
      <c r="DA346" s="120"/>
      <c r="DB346" s="120"/>
      <c r="DC346" s="120"/>
      <c r="DD346" s="120"/>
      <c r="DE346" s="120"/>
      <c r="DF346" s="120"/>
      <c r="DG346" s="120"/>
      <c r="DH346" s="120"/>
      <c r="DI346" s="120"/>
      <c r="DJ346" s="120"/>
      <c r="DK346" s="120"/>
      <c r="DL346" s="120"/>
      <c r="DM346" s="120"/>
      <c r="DN346" s="120"/>
      <c r="DO346" s="120"/>
      <c r="DP346" s="120"/>
      <c r="DQ346" s="120"/>
      <c r="DR346" s="120"/>
      <c r="DS346" s="120"/>
      <c r="DT346" s="120"/>
      <c r="DU346" s="120"/>
      <c r="DV346" s="120"/>
      <c r="DW346" s="120"/>
      <c r="DX346" s="120"/>
      <c r="DY346" s="120"/>
      <c r="DZ346" s="120"/>
      <c r="EA346" s="120"/>
      <c r="EB346" s="120"/>
      <c r="EC346" s="120"/>
      <c r="ED346" s="120"/>
      <c r="EE346" s="120"/>
      <c r="EF346" s="120"/>
      <c r="EG346" s="120"/>
      <c r="EH346" s="120"/>
      <c r="EI346" s="120"/>
      <c r="EJ346" s="120"/>
      <c r="EK346" s="120"/>
      <c r="EL346" s="120"/>
      <c r="EM346" s="120"/>
      <c r="EN346" s="120"/>
      <c r="EO346" s="120"/>
      <c r="EP346" s="120"/>
      <c r="EQ346" s="120"/>
      <c r="ER346" s="120"/>
      <c r="ES346" s="120"/>
      <c r="ET346" s="120"/>
      <c r="EU346" s="120"/>
      <c r="EV346" s="120"/>
      <c r="EW346" s="120"/>
      <c r="EX346" s="120"/>
      <c r="EY346" s="120"/>
      <c r="EZ346" s="120"/>
      <c r="FA346" s="120"/>
      <c r="FB346" s="120"/>
      <c r="FC346" s="120"/>
      <c r="FD346" s="120"/>
      <c r="FE346" s="120"/>
      <c r="FF346" s="120"/>
      <c r="FG346" s="120"/>
      <c r="FH346" s="120"/>
      <c r="FI346" s="120"/>
      <c r="FJ346" s="120"/>
      <c r="FK346" s="120"/>
      <c r="FL346" s="120"/>
      <c r="FM346" s="120"/>
      <c r="FN346" s="120"/>
      <c r="FO346" s="120"/>
      <c r="FP346" s="120"/>
      <c r="FQ346" s="120"/>
      <c r="FR346" s="120"/>
      <c r="FS346" s="120"/>
      <c r="FT346" s="120"/>
      <c r="FU346" s="120"/>
      <c r="FV346" s="120"/>
      <c r="FW346" s="120"/>
      <c r="FX346" s="120"/>
      <c r="FY346" s="120"/>
      <c r="FZ346" s="120"/>
      <c r="GA346" s="120"/>
      <c r="GB346" s="120"/>
      <c r="GC346" s="120"/>
      <c r="GD346" s="120"/>
      <c r="GE346" s="120"/>
      <c r="GF346" s="120"/>
      <c r="GG346" s="120"/>
      <c r="GH346" s="120"/>
      <c r="GI346" s="120"/>
      <c r="GJ346" s="120"/>
      <c r="GK346" s="120"/>
      <c r="GL346" s="120"/>
      <c r="GM346" s="120"/>
      <c r="GN346" s="120"/>
      <c r="GO346" s="120"/>
      <c r="GP346" s="120"/>
      <c r="GQ346" s="120"/>
      <c r="GR346" s="120"/>
      <c r="GS346" s="120"/>
      <c r="GT346" s="120"/>
      <c r="GU346" s="120"/>
      <c r="GV346" s="120"/>
      <c r="GW346" s="120"/>
      <c r="GX346" s="120"/>
      <c r="GY346" s="120"/>
      <c r="GZ346" s="120"/>
      <c r="HA346" s="120"/>
      <c r="HB346" s="120"/>
      <c r="HC346" s="120"/>
      <c r="HD346" s="120"/>
      <c r="HE346" s="120"/>
      <c r="HF346" s="120"/>
      <c r="HG346" s="120"/>
      <c r="HH346" s="120"/>
      <c r="HI346" s="120"/>
      <c r="HJ346" s="120"/>
      <c r="HK346" s="120"/>
      <c r="HL346" s="120"/>
      <c r="HM346" s="120"/>
      <c r="HN346" s="120"/>
      <c r="HO346" s="120"/>
      <c r="HP346" s="120"/>
      <c r="HQ346" s="120"/>
      <c r="HR346" s="120"/>
      <c r="HS346" s="120"/>
      <c r="HT346" s="120"/>
      <c r="HU346" s="120"/>
      <c r="HV346" s="120"/>
      <c r="HW346" s="120"/>
      <c r="HX346" s="120"/>
      <c r="HY346" s="120"/>
      <c r="HZ346" s="120"/>
      <c r="IA346" s="120"/>
      <c r="IB346" s="120"/>
      <c r="IC346" s="120"/>
      <c r="ID346" s="120"/>
      <c r="IE346" s="120"/>
      <c r="IF346" s="120"/>
      <c r="IG346" s="120"/>
      <c r="IH346" s="120"/>
      <c r="II346" s="120"/>
      <c r="IJ346" s="120"/>
      <c r="IK346" s="120"/>
      <c r="IL346" s="120"/>
      <c r="IM346" s="120"/>
    </row>
    <row r="347" spans="2:247" x14ac:dyDescent="0.25">
      <c r="B347" s="806" t="s">
        <v>391</v>
      </c>
      <c r="C347" s="807"/>
      <c r="D347" s="807"/>
      <c r="E347" s="807"/>
      <c r="F347" s="808"/>
      <c r="G347" s="688"/>
      <c r="H347" s="431"/>
      <c r="I347" s="718"/>
      <c r="J347" s="718"/>
      <c r="K347" s="718"/>
      <c r="L347" s="718"/>
      <c r="M347" s="718"/>
      <c r="N347" s="718"/>
      <c r="O347" s="718"/>
      <c r="P347" s="718"/>
      <c r="Q347" s="718"/>
      <c r="R347" s="718"/>
      <c r="S347" s="718"/>
      <c r="T347" s="718"/>
      <c r="U347" s="718"/>
      <c r="V347" s="718"/>
      <c r="W347" s="718"/>
      <c r="X347" s="718"/>
      <c r="Y347" s="718"/>
      <c r="Z347" s="718"/>
      <c r="AA347" s="718"/>
      <c r="AB347" s="718"/>
      <c r="AC347" s="718"/>
      <c r="AD347" s="718"/>
      <c r="AE347" s="718"/>
      <c r="AF347" s="718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20"/>
      <c r="AV347" s="120"/>
      <c r="AW347" s="120"/>
      <c r="AX347" s="120"/>
      <c r="AY347" s="120"/>
      <c r="AZ347" s="120"/>
      <c r="BA347" s="120"/>
      <c r="BB347" s="120"/>
      <c r="BC347" s="120"/>
      <c r="BD347" s="120"/>
      <c r="BE347" s="120"/>
      <c r="BF347" s="120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20"/>
      <c r="BS347" s="120"/>
      <c r="BT347" s="120"/>
      <c r="BU347" s="120"/>
      <c r="BV347" s="120"/>
      <c r="BW347" s="120"/>
      <c r="BX347" s="120"/>
      <c r="BY347" s="120"/>
      <c r="BZ347" s="120"/>
      <c r="CA347" s="120"/>
      <c r="CB347" s="120"/>
      <c r="CC347" s="120"/>
      <c r="CD347" s="120"/>
      <c r="CE347" s="120"/>
      <c r="CF347" s="120"/>
      <c r="CG347" s="120"/>
      <c r="CH347" s="120"/>
      <c r="CI347" s="120"/>
      <c r="CJ347" s="120"/>
      <c r="CK347" s="120"/>
      <c r="CL347" s="120"/>
      <c r="CM347" s="120"/>
      <c r="CN347" s="120"/>
      <c r="CO347" s="120"/>
      <c r="CP347" s="120"/>
      <c r="CQ347" s="120"/>
      <c r="CR347" s="120"/>
      <c r="CS347" s="120"/>
      <c r="CT347" s="120"/>
      <c r="CU347" s="120"/>
      <c r="CV347" s="120"/>
      <c r="CW347" s="120"/>
      <c r="CX347" s="120"/>
      <c r="CY347" s="120"/>
      <c r="CZ347" s="120"/>
      <c r="DA347" s="120"/>
      <c r="DB347" s="120"/>
      <c r="DC347" s="120"/>
      <c r="DD347" s="120"/>
      <c r="DE347" s="120"/>
      <c r="DF347" s="120"/>
      <c r="DG347" s="120"/>
      <c r="DH347" s="120"/>
      <c r="DI347" s="120"/>
      <c r="DJ347" s="120"/>
      <c r="DK347" s="120"/>
      <c r="DL347" s="120"/>
      <c r="DM347" s="120"/>
      <c r="DN347" s="120"/>
      <c r="DO347" s="120"/>
      <c r="DP347" s="120"/>
      <c r="DQ347" s="120"/>
      <c r="DR347" s="120"/>
      <c r="DS347" s="120"/>
      <c r="DT347" s="120"/>
      <c r="DU347" s="120"/>
      <c r="DV347" s="120"/>
      <c r="DW347" s="120"/>
      <c r="DX347" s="120"/>
      <c r="DY347" s="120"/>
      <c r="DZ347" s="120"/>
      <c r="EA347" s="120"/>
      <c r="EB347" s="120"/>
      <c r="EC347" s="120"/>
      <c r="ED347" s="120"/>
      <c r="EE347" s="120"/>
      <c r="EF347" s="120"/>
      <c r="EG347" s="120"/>
      <c r="EH347" s="120"/>
      <c r="EI347" s="120"/>
      <c r="EJ347" s="120"/>
      <c r="EK347" s="120"/>
      <c r="EL347" s="120"/>
      <c r="EM347" s="120"/>
      <c r="EN347" s="120"/>
      <c r="EO347" s="120"/>
      <c r="EP347" s="120"/>
      <c r="EQ347" s="120"/>
      <c r="ER347" s="120"/>
      <c r="ES347" s="120"/>
      <c r="ET347" s="120"/>
      <c r="EU347" s="120"/>
      <c r="EV347" s="120"/>
      <c r="EW347" s="120"/>
      <c r="EX347" s="120"/>
      <c r="EY347" s="120"/>
      <c r="EZ347" s="120"/>
      <c r="FA347" s="120"/>
      <c r="FB347" s="120"/>
      <c r="FC347" s="120"/>
      <c r="FD347" s="120"/>
      <c r="FE347" s="120"/>
      <c r="FF347" s="120"/>
      <c r="FG347" s="120"/>
      <c r="FH347" s="120"/>
      <c r="FI347" s="120"/>
      <c r="FJ347" s="120"/>
      <c r="FK347" s="120"/>
      <c r="FL347" s="120"/>
      <c r="FM347" s="120"/>
      <c r="FN347" s="120"/>
      <c r="FO347" s="120"/>
      <c r="FP347" s="120"/>
      <c r="FQ347" s="120"/>
      <c r="FR347" s="120"/>
      <c r="FS347" s="120"/>
      <c r="FT347" s="120"/>
      <c r="FU347" s="120"/>
      <c r="FV347" s="120"/>
      <c r="FW347" s="120"/>
      <c r="FX347" s="120"/>
      <c r="FY347" s="120"/>
      <c r="FZ347" s="120"/>
      <c r="GA347" s="120"/>
      <c r="GB347" s="120"/>
      <c r="GC347" s="120"/>
      <c r="GD347" s="120"/>
      <c r="GE347" s="120"/>
      <c r="GF347" s="120"/>
      <c r="GG347" s="120"/>
      <c r="GH347" s="120"/>
      <c r="GI347" s="120"/>
      <c r="GJ347" s="120"/>
      <c r="GK347" s="120"/>
      <c r="GL347" s="120"/>
      <c r="GM347" s="120"/>
      <c r="GN347" s="120"/>
      <c r="GO347" s="120"/>
      <c r="GP347" s="120"/>
      <c r="GQ347" s="120"/>
      <c r="GR347" s="120"/>
      <c r="GS347" s="120"/>
      <c r="GT347" s="120"/>
      <c r="GU347" s="120"/>
      <c r="GV347" s="120"/>
      <c r="GW347" s="120"/>
      <c r="GX347" s="120"/>
      <c r="GY347" s="120"/>
      <c r="GZ347" s="120"/>
      <c r="HA347" s="120"/>
      <c r="HB347" s="120"/>
      <c r="HC347" s="120"/>
      <c r="HD347" s="120"/>
      <c r="HE347" s="120"/>
      <c r="HF347" s="120"/>
      <c r="HG347" s="120"/>
      <c r="HH347" s="120"/>
      <c r="HI347" s="120"/>
      <c r="HJ347" s="120"/>
      <c r="HK347" s="120"/>
      <c r="HL347" s="120"/>
      <c r="HM347" s="120"/>
      <c r="HN347" s="120"/>
      <c r="HO347" s="120"/>
      <c r="HP347" s="120"/>
      <c r="HQ347" s="120"/>
      <c r="HR347" s="120"/>
      <c r="HS347" s="120"/>
      <c r="HT347" s="120"/>
      <c r="HU347" s="120"/>
      <c r="HV347" s="120"/>
      <c r="HW347" s="120"/>
      <c r="HX347" s="120"/>
      <c r="HY347" s="120"/>
      <c r="HZ347" s="120"/>
      <c r="IA347" s="120"/>
      <c r="IB347" s="120"/>
      <c r="IC347" s="120"/>
      <c r="ID347" s="120"/>
      <c r="IE347" s="120"/>
      <c r="IF347" s="120"/>
      <c r="IG347" s="120"/>
      <c r="IH347" s="120"/>
      <c r="II347" s="120"/>
      <c r="IJ347" s="120"/>
      <c r="IK347" s="120"/>
      <c r="IL347" s="120"/>
      <c r="IM347" s="120"/>
    </row>
    <row r="348" spans="2:247" ht="78.75" x14ac:dyDescent="0.25">
      <c r="B348" s="306" t="s">
        <v>139</v>
      </c>
      <c r="C348" s="50" t="s">
        <v>85</v>
      </c>
      <c r="D348" s="111">
        <v>4</v>
      </c>
      <c r="E348" s="111">
        <v>4</v>
      </c>
      <c r="F348" s="64">
        <f>E348/D348*100</f>
        <v>100</v>
      </c>
      <c r="G348" s="688"/>
      <c r="H348" s="80" t="s">
        <v>999</v>
      </c>
      <c r="I348" s="718"/>
      <c r="J348" s="718"/>
      <c r="K348" s="718"/>
      <c r="L348" s="718"/>
      <c r="M348" s="718"/>
      <c r="N348" s="718"/>
      <c r="O348" s="718"/>
      <c r="P348" s="718"/>
      <c r="Q348" s="718"/>
      <c r="R348" s="718"/>
      <c r="S348" s="718"/>
      <c r="T348" s="718"/>
      <c r="U348" s="718"/>
      <c r="V348" s="718"/>
      <c r="W348" s="718"/>
      <c r="X348" s="718"/>
      <c r="Y348" s="718"/>
      <c r="Z348" s="718"/>
      <c r="AA348" s="718"/>
      <c r="AB348" s="718"/>
      <c r="AC348" s="718"/>
      <c r="AD348" s="718"/>
      <c r="AE348" s="718"/>
      <c r="AF348" s="718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20"/>
      <c r="AV348" s="120"/>
      <c r="AW348" s="120"/>
      <c r="AX348" s="120"/>
      <c r="AY348" s="120"/>
      <c r="AZ348" s="120"/>
      <c r="BA348" s="120"/>
      <c r="BB348" s="120"/>
      <c r="BC348" s="120"/>
      <c r="BD348" s="120"/>
      <c r="BE348" s="120"/>
      <c r="BF348" s="120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20"/>
      <c r="BS348" s="120"/>
      <c r="BT348" s="120"/>
      <c r="BU348" s="120"/>
      <c r="BV348" s="120"/>
      <c r="BW348" s="120"/>
      <c r="BX348" s="120"/>
      <c r="BY348" s="120"/>
      <c r="BZ348" s="120"/>
      <c r="CA348" s="120"/>
      <c r="CB348" s="120"/>
      <c r="CC348" s="120"/>
      <c r="CD348" s="120"/>
      <c r="CE348" s="120"/>
      <c r="CF348" s="120"/>
      <c r="CG348" s="120"/>
      <c r="CH348" s="120"/>
      <c r="CI348" s="120"/>
      <c r="CJ348" s="120"/>
      <c r="CK348" s="120"/>
      <c r="CL348" s="120"/>
      <c r="CM348" s="120"/>
      <c r="CN348" s="120"/>
      <c r="CO348" s="120"/>
      <c r="CP348" s="120"/>
      <c r="CQ348" s="120"/>
      <c r="CR348" s="120"/>
      <c r="CS348" s="120"/>
      <c r="CT348" s="120"/>
      <c r="CU348" s="120"/>
      <c r="CV348" s="120"/>
      <c r="CW348" s="120"/>
      <c r="CX348" s="120"/>
      <c r="CY348" s="120"/>
      <c r="CZ348" s="120"/>
      <c r="DA348" s="120"/>
      <c r="DB348" s="120"/>
      <c r="DC348" s="120"/>
      <c r="DD348" s="120"/>
      <c r="DE348" s="120"/>
      <c r="DF348" s="120"/>
      <c r="DG348" s="120"/>
      <c r="DH348" s="120"/>
      <c r="DI348" s="120"/>
      <c r="DJ348" s="120"/>
      <c r="DK348" s="120"/>
      <c r="DL348" s="120"/>
      <c r="DM348" s="120"/>
      <c r="DN348" s="120"/>
      <c r="DO348" s="120"/>
      <c r="DP348" s="120"/>
      <c r="DQ348" s="120"/>
      <c r="DR348" s="120"/>
      <c r="DS348" s="120"/>
      <c r="DT348" s="120"/>
      <c r="DU348" s="120"/>
      <c r="DV348" s="120"/>
      <c r="DW348" s="120"/>
      <c r="DX348" s="120"/>
      <c r="DY348" s="120"/>
      <c r="DZ348" s="120"/>
      <c r="EA348" s="120"/>
      <c r="EB348" s="120"/>
      <c r="EC348" s="120"/>
      <c r="ED348" s="120"/>
      <c r="EE348" s="120"/>
      <c r="EF348" s="120"/>
      <c r="EG348" s="120"/>
      <c r="EH348" s="120"/>
      <c r="EI348" s="120"/>
      <c r="EJ348" s="120"/>
      <c r="EK348" s="120"/>
      <c r="EL348" s="120"/>
      <c r="EM348" s="120"/>
      <c r="EN348" s="120"/>
      <c r="EO348" s="120"/>
      <c r="EP348" s="120"/>
      <c r="EQ348" s="120"/>
      <c r="ER348" s="120"/>
      <c r="ES348" s="120"/>
      <c r="ET348" s="120"/>
      <c r="EU348" s="120"/>
      <c r="EV348" s="120"/>
      <c r="EW348" s="120"/>
      <c r="EX348" s="120"/>
      <c r="EY348" s="120"/>
      <c r="EZ348" s="120"/>
      <c r="FA348" s="120"/>
      <c r="FB348" s="120"/>
      <c r="FC348" s="120"/>
      <c r="FD348" s="120"/>
      <c r="FE348" s="120"/>
      <c r="FF348" s="120"/>
      <c r="FG348" s="120"/>
      <c r="FH348" s="120"/>
      <c r="FI348" s="120"/>
      <c r="FJ348" s="120"/>
      <c r="FK348" s="120"/>
      <c r="FL348" s="120"/>
      <c r="FM348" s="120"/>
      <c r="FN348" s="120"/>
      <c r="FO348" s="120"/>
      <c r="FP348" s="120"/>
      <c r="FQ348" s="120"/>
      <c r="FR348" s="120"/>
      <c r="FS348" s="120"/>
      <c r="FT348" s="120"/>
      <c r="FU348" s="120"/>
      <c r="FV348" s="120"/>
      <c r="FW348" s="120"/>
      <c r="FX348" s="120"/>
      <c r="FY348" s="120"/>
      <c r="FZ348" s="120"/>
      <c r="GA348" s="120"/>
      <c r="GB348" s="120"/>
      <c r="GC348" s="120"/>
      <c r="GD348" s="120"/>
      <c r="GE348" s="120"/>
      <c r="GF348" s="120"/>
      <c r="GG348" s="120"/>
      <c r="GH348" s="120"/>
      <c r="GI348" s="120"/>
      <c r="GJ348" s="120"/>
      <c r="GK348" s="120"/>
      <c r="GL348" s="120"/>
      <c r="GM348" s="120"/>
      <c r="GN348" s="120"/>
      <c r="GO348" s="120"/>
      <c r="GP348" s="120"/>
      <c r="GQ348" s="120"/>
      <c r="GR348" s="120"/>
      <c r="GS348" s="120"/>
      <c r="GT348" s="120"/>
      <c r="GU348" s="120"/>
      <c r="GV348" s="120"/>
      <c r="GW348" s="120"/>
      <c r="GX348" s="120"/>
      <c r="GY348" s="120"/>
      <c r="GZ348" s="120"/>
      <c r="HA348" s="120"/>
      <c r="HB348" s="120"/>
      <c r="HC348" s="120"/>
      <c r="HD348" s="120"/>
      <c r="HE348" s="120"/>
      <c r="HF348" s="120"/>
      <c r="HG348" s="120"/>
      <c r="HH348" s="120"/>
      <c r="HI348" s="120"/>
      <c r="HJ348" s="120"/>
      <c r="HK348" s="120"/>
      <c r="HL348" s="120"/>
      <c r="HM348" s="120"/>
      <c r="HN348" s="120"/>
      <c r="HO348" s="120"/>
      <c r="HP348" s="120"/>
      <c r="HQ348" s="120"/>
      <c r="HR348" s="120"/>
      <c r="HS348" s="120"/>
      <c r="HT348" s="120"/>
      <c r="HU348" s="120"/>
      <c r="HV348" s="120"/>
      <c r="HW348" s="120"/>
      <c r="HX348" s="120"/>
      <c r="HY348" s="120"/>
      <c r="HZ348" s="120"/>
      <c r="IA348" s="120"/>
      <c r="IB348" s="120"/>
      <c r="IC348" s="120"/>
      <c r="ID348" s="120"/>
      <c r="IE348" s="120"/>
      <c r="IF348" s="120"/>
      <c r="IG348" s="120"/>
      <c r="IH348" s="120"/>
      <c r="II348" s="120"/>
      <c r="IJ348" s="120"/>
      <c r="IK348" s="120"/>
      <c r="IL348" s="120"/>
      <c r="IM348" s="120"/>
    </row>
    <row r="349" spans="2:247" ht="148.5" customHeight="1" x14ac:dyDescent="0.25">
      <c r="B349" s="306" t="s">
        <v>140</v>
      </c>
      <c r="C349" s="50" t="s">
        <v>66</v>
      </c>
      <c r="D349" s="111">
        <v>1045</v>
      </c>
      <c r="E349" s="309">
        <f>168+131+151+434+645</f>
        <v>1529</v>
      </c>
      <c r="F349" s="64">
        <v>100</v>
      </c>
      <c r="G349" s="688"/>
      <c r="H349" s="80" t="s">
        <v>1229</v>
      </c>
      <c r="I349" s="718"/>
      <c r="J349" s="718"/>
      <c r="K349" s="718"/>
      <c r="L349" s="718"/>
      <c r="M349" s="718"/>
      <c r="N349" s="718"/>
      <c r="O349" s="718"/>
      <c r="P349" s="718"/>
      <c r="Q349" s="718"/>
      <c r="R349" s="718"/>
      <c r="S349" s="718"/>
      <c r="T349" s="718"/>
      <c r="U349" s="718"/>
      <c r="V349" s="718"/>
      <c r="W349" s="718"/>
      <c r="X349" s="718"/>
      <c r="Y349" s="718"/>
      <c r="Z349" s="718"/>
      <c r="AA349" s="718"/>
      <c r="AB349" s="718"/>
      <c r="AC349" s="718"/>
      <c r="AD349" s="718"/>
      <c r="AE349" s="718"/>
      <c r="AF349" s="718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20"/>
      <c r="AV349" s="120"/>
      <c r="AW349" s="120"/>
      <c r="AX349" s="120"/>
      <c r="AY349" s="120"/>
      <c r="AZ349" s="120"/>
      <c r="BA349" s="120"/>
      <c r="BB349" s="120"/>
      <c r="BC349" s="120"/>
      <c r="BD349" s="120"/>
      <c r="BE349" s="120"/>
      <c r="BF349" s="120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20"/>
      <c r="BS349" s="120"/>
      <c r="BT349" s="120"/>
      <c r="BU349" s="120"/>
      <c r="BV349" s="120"/>
      <c r="BW349" s="120"/>
      <c r="BX349" s="120"/>
      <c r="BY349" s="120"/>
      <c r="BZ349" s="120"/>
      <c r="CA349" s="120"/>
      <c r="CB349" s="120"/>
      <c r="CC349" s="120"/>
      <c r="CD349" s="120"/>
      <c r="CE349" s="120"/>
      <c r="CF349" s="120"/>
      <c r="CG349" s="120"/>
      <c r="CH349" s="120"/>
      <c r="CI349" s="120"/>
      <c r="CJ349" s="120"/>
      <c r="CK349" s="120"/>
      <c r="CL349" s="120"/>
      <c r="CM349" s="120"/>
      <c r="CN349" s="120"/>
      <c r="CO349" s="120"/>
      <c r="CP349" s="120"/>
      <c r="CQ349" s="120"/>
      <c r="CR349" s="120"/>
      <c r="CS349" s="120"/>
      <c r="CT349" s="120"/>
      <c r="CU349" s="120"/>
      <c r="CV349" s="120"/>
      <c r="CW349" s="120"/>
      <c r="CX349" s="120"/>
      <c r="CY349" s="120"/>
      <c r="CZ349" s="120"/>
      <c r="DA349" s="120"/>
      <c r="DB349" s="120"/>
      <c r="DC349" s="120"/>
      <c r="DD349" s="120"/>
      <c r="DE349" s="120"/>
      <c r="DF349" s="120"/>
      <c r="DG349" s="120"/>
      <c r="DH349" s="120"/>
      <c r="DI349" s="120"/>
      <c r="DJ349" s="120"/>
      <c r="DK349" s="120"/>
      <c r="DL349" s="120"/>
      <c r="DM349" s="120"/>
      <c r="DN349" s="120"/>
      <c r="DO349" s="120"/>
      <c r="DP349" s="120"/>
      <c r="DQ349" s="120"/>
      <c r="DR349" s="120"/>
      <c r="DS349" s="120"/>
      <c r="DT349" s="120"/>
      <c r="DU349" s="120"/>
      <c r="DV349" s="120"/>
      <c r="DW349" s="120"/>
      <c r="DX349" s="120"/>
      <c r="DY349" s="120"/>
      <c r="DZ349" s="120"/>
      <c r="EA349" s="120"/>
      <c r="EB349" s="120"/>
      <c r="EC349" s="120"/>
      <c r="ED349" s="120"/>
      <c r="EE349" s="120"/>
      <c r="EF349" s="120"/>
      <c r="EG349" s="120"/>
      <c r="EH349" s="120"/>
      <c r="EI349" s="120"/>
      <c r="EJ349" s="120"/>
      <c r="EK349" s="120"/>
      <c r="EL349" s="120"/>
      <c r="EM349" s="120"/>
      <c r="EN349" s="120"/>
      <c r="EO349" s="120"/>
      <c r="EP349" s="120"/>
      <c r="EQ349" s="120"/>
      <c r="ER349" s="120"/>
      <c r="ES349" s="120"/>
      <c r="ET349" s="120"/>
      <c r="EU349" s="120"/>
      <c r="EV349" s="120"/>
      <c r="EW349" s="120"/>
      <c r="EX349" s="120"/>
      <c r="EY349" s="120"/>
      <c r="EZ349" s="120"/>
      <c r="FA349" s="120"/>
      <c r="FB349" s="120"/>
      <c r="FC349" s="120"/>
      <c r="FD349" s="120"/>
      <c r="FE349" s="120"/>
      <c r="FF349" s="120"/>
      <c r="FG349" s="120"/>
      <c r="FH349" s="120"/>
      <c r="FI349" s="120"/>
      <c r="FJ349" s="120"/>
      <c r="FK349" s="120"/>
      <c r="FL349" s="120"/>
      <c r="FM349" s="120"/>
      <c r="FN349" s="120"/>
      <c r="FO349" s="120"/>
      <c r="FP349" s="120"/>
      <c r="FQ349" s="120"/>
      <c r="FR349" s="120"/>
      <c r="FS349" s="120"/>
      <c r="FT349" s="120"/>
      <c r="FU349" s="120"/>
      <c r="FV349" s="120"/>
      <c r="FW349" s="120"/>
      <c r="FX349" s="120"/>
      <c r="FY349" s="120"/>
      <c r="FZ349" s="120"/>
      <c r="GA349" s="120"/>
      <c r="GB349" s="120"/>
      <c r="GC349" s="120"/>
      <c r="GD349" s="120"/>
      <c r="GE349" s="120"/>
      <c r="GF349" s="120"/>
      <c r="GG349" s="120"/>
      <c r="GH349" s="120"/>
      <c r="GI349" s="120"/>
      <c r="GJ349" s="120"/>
      <c r="GK349" s="120"/>
      <c r="GL349" s="120"/>
      <c r="GM349" s="120"/>
      <c r="GN349" s="120"/>
      <c r="GO349" s="120"/>
      <c r="GP349" s="120"/>
      <c r="GQ349" s="120"/>
      <c r="GR349" s="120"/>
      <c r="GS349" s="120"/>
      <c r="GT349" s="120"/>
      <c r="GU349" s="120"/>
      <c r="GV349" s="120"/>
      <c r="GW349" s="120"/>
      <c r="GX349" s="120"/>
      <c r="GY349" s="120"/>
      <c r="GZ349" s="120"/>
      <c r="HA349" s="120"/>
      <c r="HB349" s="120"/>
      <c r="HC349" s="120"/>
      <c r="HD349" s="120"/>
      <c r="HE349" s="120"/>
      <c r="HF349" s="120"/>
      <c r="HG349" s="120"/>
      <c r="HH349" s="120"/>
      <c r="HI349" s="120"/>
      <c r="HJ349" s="120"/>
      <c r="HK349" s="120"/>
      <c r="HL349" s="120"/>
      <c r="HM349" s="120"/>
      <c r="HN349" s="120"/>
      <c r="HO349" s="120"/>
      <c r="HP349" s="120"/>
      <c r="HQ349" s="120"/>
      <c r="HR349" s="120"/>
      <c r="HS349" s="120"/>
      <c r="HT349" s="120"/>
      <c r="HU349" s="120"/>
      <c r="HV349" s="120"/>
      <c r="HW349" s="120"/>
      <c r="HX349" s="120"/>
      <c r="HY349" s="120"/>
      <c r="HZ349" s="120"/>
      <c r="IA349" s="120"/>
      <c r="IB349" s="120"/>
      <c r="IC349" s="120"/>
      <c r="ID349" s="120"/>
      <c r="IE349" s="120"/>
      <c r="IF349" s="120"/>
      <c r="IG349" s="120"/>
      <c r="IH349" s="120"/>
      <c r="II349" s="120"/>
      <c r="IJ349" s="120"/>
      <c r="IK349" s="120"/>
      <c r="IL349" s="120"/>
      <c r="IM349" s="120"/>
    </row>
    <row r="350" spans="2:247" x14ac:dyDescent="0.25">
      <c r="B350" s="806" t="s">
        <v>392</v>
      </c>
      <c r="C350" s="807"/>
      <c r="D350" s="807"/>
      <c r="E350" s="807"/>
      <c r="F350" s="808"/>
      <c r="G350" s="688"/>
      <c r="H350" s="431"/>
      <c r="I350" s="718"/>
      <c r="J350" s="718"/>
      <c r="K350" s="718"/>
      <c r="L350" s="718"/>
      <c r="M350" s="718"/>
      <c r="N350" s="718"/>
      <c r="O350" s="718"/>
      <c r="P350" s="718"/>
      <c r="Q350" s="718"/>
      <c r="R350" s="718"/>
      <c r="S350" s="718"/>
      <c r="T350" s="718"/>
      <c r="U350" s="718"/>
      <c r="V350" s="718"/>
      <c r="W350" s="718"/>
      <c r="X350" s="718"/>
      <c r="Y350" s="718"/>
      <c r="Z350" s="718"/>
      <c r="AA350" s="718"/>
      <c r="AB350" s="718"/>
      <c r="AC350" s="718"/>
      <c r="AD350" s="718"/>
      <c r="AE350" s="718"/>
      <c r="AF350" s="718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20"/>
      <c r="AV350" s="120"/>
      <c r="AW350" s="120"/>
      <c r="AX350" s="120"/>
      <c r="AY350" s="120"/>
      <c r="AZ350" s="120"/>
      <c r="BA350" s="120"/>
      <c r="BB350" s="120"/>
      <c r="BC350" s="120"/>
      <c r="BD350" s="120"/>
      <c r="BE350" s="120"/>
      <c r="BF350" s="120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20"/>
      <c r="BS350" s="120"/>
      <c r="BT350" s="120"/>
      <c r="BU350" s="120"/>
      <c r="BV350" s="120"/>
      <c r="BW350" s="120"/>
      <c r="BX350" s="120"/>
      <c r="BY350" s="120"/>
      <c r="BZ350" s="120"/>
      <c r="CA350" s="120"/>
      <c r="CB350" s="120"/>
      <c r="CC350" s="120"/>
      <c r="CD350" s="120"/>
      <c r="CE350" s="120"/>
      <c r="CF350" s="120"/>
      <c r="CG350" s="120"/>
      <c r="CH350" s="120"/>
      <c r="CI350" s="120"/>
      <c r="CJ350" s="120"/>
      <c r="CK350" s="120"/>
      <c r="CL350" s="120"/>
      <c r="CM350" s="120"/>
      <c r="CN350" s="120"/>
      <c r="CO350" s="120"/>
      <c r="CP350" s="120"/>
      <c r="CQ350" s="120"/>
      <c r="CR350" s="120"/>
      <c r="CS350" s="120"/>
      <c r="CT350" s="120"/>
      <c r="CU350" s="120"/>
      <c r="CV350" s="120"/>
      <c r="CW350" s="120"/>
      <c r="CX350" s="120"/>
      <c r="CY350" s="120"/>
      <c r="CZ350" s="120"/>
      <c r="DA350" s="120"/>
      <c r="DB350" s="120"/>
      <c r="DC350" s="120"/>
      <c r="DD350" s="120"/>
      <c r="DE350" s="120"/>
      <c r="DF350" s="120"/>
      <c r="DG350" s="120"/>
      <c r="DH350" s="120"/>
      <c r="DI350" s="120"/>
      <c r="DJ350" s="120"/>
      <c r="DK350" s="120"/>
      <c r="DL350" s="120"/>
      <c r="DM350" s="120"/>
      <c r="DN350" s="120"/>
      <c r="DO350" s="120"/>
      <c r="DP350" s="120"/>
      <c r="DQ350" s="120"/>
      <c r="DR350" s="120"/>
      <c r="DS350" s="120"/>
      <c r="DT350" s="120"/>
      <c r="DU350" s="120"/>
      <c r="DV350" s="120"/>
      <c r="DW350" s="120"/>
      <c r="DX350" s="120"/>
      <c r="DY350" s="120"/>
      <c r="DZ350" s="120"/>
      <c r="EA350" s="120"/>
      <c r="EB350" s="120"/>
      <c r="EC350" s="120"/>
      <c r="ED350" s="120"/>
      <c r="EE350" s="120"/>
      <c r="EF350" s="120"/>
      <c r="EG350" s="120"/>
      <c r="EH350" s="120"/>
      <c r="EI350" s="120"/>
      <c r="EJ350" s="120"/>
      <c r="EK350" s="120"/>
      <c r="EL350" s="120"/>
      <c r="EM350" s="120"/>
      <c r="EN350" s="120"/>
      <c r="EO350" s="120"/>
      <c r="EP350" s="120"/>
      <c r="EQ350" s="120"/>
      <c r="ER350" s="120"/>
      <c r="ES350" s="120"/>
      <c r="ET350" s="120"/>
      <c r="EU350" s="120"/>
      <c r="EV350" s="120"/>
      <c r="EW350" s="120"/>
      <c r="EX350" s="120"/>
      <c r="EY350" s="120"/>
      <c r="EZ350" s="120"/>
      <c r="FA350" s="120"/>
      <c r="FB350" s="120"/>
      <c r="FC350" s="120"/>
      <c r="FD350" s="120"/>
      <c r="FE350" s="120"/>
      <c r="FF350" s="120"/>
      <c r="FG350" s="120"/>
      <c r="FH350" s="120"/>
      <c r="FI350" s="120"/>
      <c r="FJ350" s="120"/>
      <c r="FK350" s="120"/>
      <c r="FL350" s="120"/>
      <c r="FM350" s="120"/>
      <c r="FN350" s="120"/>
      <c r="FO350" s="120"/>
      <c r="FP350" s="120"/>
      <c r="FQ350" s="120"/>
      <c r="FR350" s="120"/>
      <c r="FS350" s="120"/>
      <c r="FT350" s="120"/>
      <c r="FU350" s="120"/>
      <c r="FV350" s="120"/>
      <c r="FW350" s="120"/>
      <c r="FX350" s="120"/>
      <c r="FY350" s="120"/>
      <c r="FZ350" s="120"/>
      <c r="GA350" s="120"/>
      <c r="GB350" s="120"/>
      <c r="GC350" s="120"/>
      <c r="GD350" s="120"/>
      <c r="GE350" s="120"/>
      <c r="GF350" s="120"/>
      <c r="GG350" s="120"/>
      <c r="GH350" s="120"/>
      <c r="GI350" s="120"/>
      <c r="GJ350" s="120"/>
      <c r="GK350" s="120"/>
      <c r="GL350" s="120"/>
      <c r="GM350" s="120"/>
      <c r="GN350" s="120"/>
      <c r="GO350" s="120"/>
      <c r="GP350" s="120"/>
      <c r="GQ350" s="120"/>
      <c r="GR350" s="120"/>
      <c r="GS350" s="120"/>
      <c r="GT350" s="120"/>
      <c r="GU350" s="120"/>
      <c r="GV350" s="120"/>
      <c r="GW350" s="120"/>
      <c r="GX350" s="120"/>
      <c r="GY350" s="120"/>
      <c r="GZ350" s="120"/>
      <c r="HA350" s="120"/>
      <c r="HB350" s="120"/>
      <c r="HC350" s="120"/>
      <c r="HD350" s="120"/>
      <c r="HE350" s="120"/>
      <c r="HF350" s="120"/>
      <c r="HG350" s="120"/>
      <c r="HH350" s="120"/>
      <c r="HI350" s="120"/>
      <c r="HJ350" s="120"/>
      <c r="HK350" s="120"/>
      <c r="HL350" s="120"/>
      <c r="HM350" s="120"/>
      <c r="HN350" s="120"/>
      <c r="HO350" s="120"/>
      <c r="HP350" s="120"/>
      <c r="HQ350" s="120"/>
      <c r="HR350" s="120"/>
      <c r="HS350" s="120"/>
      <c r="HT350" s="120"/>
      <c r="HU350" s="120"/>
      <c r="HV350" s="120"/>
      <c r="HW350" s="120"/>
      <c r="HX350" s="120"/>
      <c r="HY350" s="120"/>
      <c r="HZ350" s="120"/>
      <c r="IA350" s="120"/>
      <c r="IB350" s="120"/>
      <c r="IC350" s="120"/>
      <c r="ID350" s="120"/>
      <c r="IE350" s="120"/>
      <c r="IF350" s="120"/>
      <c r="IG350" s="120"/>
      <c r="IH350" s="120"/>
      <c r="II350" s="120"/>
      <c r="IJ350" s="120"/>
      <c r="IK350" s="120"/>
      <c r="IL350" s="120"/>
      <c r="IM350" s="120"/>
    </row>
    <row r="351" spans="2:247" ht="47.25" x14ac:dyDescent="0.25">
      <c r="B351" s="306" t="s">
        <v>141</v>
      </c>
      <c r="C351" s="50" t="s">
        <v>122</v>
      </c>
      <c r="D351" s="111"/>
      <c r="E351" s="111">
        <v>0</v>
      </c>
      <c r="F351" s="64"/>
      <c r="G351" s="688"/>
      <c r="H351" s="80" t="s">
        <v>1000</v>
      </c>
      <c r="I351" s="718"/>
      <c r="J351" s="718"/>
      <c r="K351" s="718"/>
      <c r="L351" s="718"/>
      <c r="M351" s="718"/>
      <c r="N351" s="718"/>
      <c r="O351" s="718"/>
      <c r="P351" s="718"/>
      <c r="Q351" s="718"/>
      <c r="R351" s="718"/>
      <c r="S351" s="718"/>
      <c r="T351" s="718"/>
      <c r="U351" s="718"/>
      <c r="V351" s="718"/>
      <c r="W351" s="718"/>
      <c r="X351" s="718"/>
      <c r="Y351" s="718"/>
      <c r="Z351" s="718"/>
      <c r="AA351" s="718"/>
      <c r="AB351" s="718"/>
      <c r="AC351" s="718"/>
      <c r="AD351" s="718"/>
      <c r="AE351" s="718"/>
      <c r="AF351" s="718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20"/>
      <c r="AV351" s="120"/>
      <c r="AW351" s="120"/>
      <c r="AX351" s="120"/>
      <c r="AY351" s="120"/>
      <c r="AZ351" s="120"/>
      <c r="BA351" s="120"/>
      <c r="BB351" s="120"/>
      <c r="BC351" s="120"/>
      <c r="BD351" s="120"/>
      <c r="BE351" s="120"/>
      <c r="BF351" s="120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20"/>
      <c r="BS351" s="120"/>
      <c r="BT351" s="120"/>
      <c r="BU351" s="120"/>
      <c r="BV351" s="120"/>
      <c r="BW351" s="120"/>
      <c r="BX351" s="120"/>
      <c r="BY351" s="120"/>
      <c r="BZ351" s="120"/>
      <c r="CA351" s="120"/>
      <c r="CB351" s="120"/>
      <c r="CC351" s="120"/>
      <c r="CD351" s="120"/>
      <c r="CE351" s="120"/>
      <c r="CF351" s="120"/>
      <c r="CG351" s="120"/>
      <c r="CH351" s="120"/>
      <c r="CI351" s="120"/>
      <c r="CJ351" s="120"/>
      <c r="CK351" s="120"/>
      <c r="CL351" s="120"/>
      <c r="CM351" s="120"/>
      <c r="CN351" s="120"/>
      <c r="CO351" s="120"/>
      <c r="CP351" s="120"/>
      <c r="CQ351" s="120"/>
      <c r="CR351" s="120"/>
      <c r="CS351" s="120"/>
      <c r="CT351" s="120"/>
      <c r="CU351" s="120"/>
      <c r="CV351" s="120"/>
      <c r="CW351" s="120"/>
      <c r="CX351" s="120"/>
      <c r="CY351" s="120"/>
      <c r="CZ351" s="120"/>
      <c r="DA351" s="120"/>
      <c r="DB351" s="120"/>
      <c r="DC351" s="120"/>
      <c r="DD351" s="120"/>
      <c r="DE351" s="120"/>
      <c r="DF351" s="120"/>
      <c r="DG351" s="120"/>
      <c r="DH351" s="120"/>
      <c r="DI351" s="120"/>
      <c r="DJ351" s="120"/>
      <c r="DK351" s="120"/>
      <c r="DL351" s="120"/>
      <c r="DM351" s="120"/>
      <c r="DN351" s="120"/>
      <c r="DO351" s="120"/>
      <c r="DP351" s="120"/>
      <c r="DQ351" s="120"/>
      <c r="DR351" s="120"/>
      <c r="DS351" s="120"/>
      <c r="DT351" s="120"/>
      <c r="DU351" s="120"/>
      <c r="DV351" s="120"/>
      <c r="DW351" s="120"/>
      <c r="DX351" s="120"/>
      <c r="DY351" s="120"/>
      <c r="DZ351" s="120"/>
      <c r="EA351" s="120"/>
      <c r="EB351" s="120"/>
      <c r="EC351" s="120"/>
      <c r="ED351" s="120"/>
      <c r="EE351" s="120"/>
      <c r="EF351" s="120"/>
      <c r="EG351" s="120"/>
      <c r="EH351" s="120"/>
      <c r="EI351" s="120"/>
      <c r="EJ351" s="120"/>
      <c r="EK351" s="120"/>
      <c r="EL351" s="120"/>
      <c r="EM351" s="120"/>
      <c r="EN351" s="120"/>
      <c r="EO351" s="120"/>
      <c r="EP351" s="120"/>
      <c r="EQ351" s="120"/>
      <c r="ER351" s="120"/>
      <c r="ES351" s="120"/>
      <c r="ET351" s="120"/>
      <c r="EU351" s="120"/>
      <c r="EV351" s="120"/>
      <c r="EW351" s="120"/>
      <c r="EX351" s="120"/>
      <c r="EY351" s="120"/>
      <c r="EZ351" s="120"/>
      <c r="FA351" s="120"/>
      <c r="FB351" s="120"/>
      <c r="FC351" s="120"/>
      <c r="FD351" s="120"/>
      <c r="FE351" s="120"/>
      <c r="FF351" s="120"/>
      <c r="FG351" s="120"/>
      <c r="FH351" s="120"/>
      <c r="FI351" s="120"/>
      <c r="FJ351" s="120"/>
      <c r="FK351" s="120"/>
      <c r="FL351" s="120"/>
      <c r="FM351" s="120"/>
      <c r="FN351" s="120"/>
      <c r="FO351" s="120"/>
      <c r="FP351" s="120"/>
      <c r="FQ351" s="120"/>
      <c r="FR351" s="120"/>
      <c r="FS351" s="120"/>
      <c r="FT351" s="120"/>
      <c r="FU351" s="120"/>
      <c r="FV351" s="120"/>
      <c r="FW351" s="120"/>
      <c r="FX351" s="120"/>
      <c r="FY351" s="120"/>
      <c r="FZ351" s="120"/>
      <c r="GA351" s="120"/>
      <c r="GB351" s="120"/>
      <c r="GC351" s="120"/>
      <c r="GD351" s="120"/>
      <c r="GE351" s="120"/>
      <c r="GF351" s="120"/>
      <c r="GG351" s="120"/>
      <c r="GH351" s="120"/>
      <c r="GI351" s="120"/>
      <c r="GJ351" s="120"/>
      <c r="GK351" s="120"/>
      <c r="GL351" s="120"/>
      <c r="GM351" s="120"/>
      <c r="GN351" s="120"/>
      <c r="GO351" s="120"/>
      <c r="GP351" s="120"/>
      <c r="GQ351" s="120"/>
      <c r="GR351" s="120"/>
      <c r="GS351" s="120"/>
      <c r="GT351" s="120"/>
      <c r="GU351" s="120"/>
      <c r="GV351" s="120"/>
      <c r="GW351" s="120"/>
      <c r="GX351" s="120"/>
      <c r="GY351" s="120"/>
      <c r="GZ351" s="120"/>
      <c r="HA351" s="120"/>
      <c r="HB351" s="120"/>
      <c r="HC351" s="120"/>
      <c r="HD351" s="120"/>
      <c r="HE351" s="120"/>
      <c r="HF351" s="120"/>
      <c r="HG351" s="120"/>
      <c r="HH351" s="120"/>
      <c r="HI351" s="120"/>
      <c r="HJ351" s="120"/>
      <c r="HK351" s="120"/>
      <c r="HL351" s="120"/>
      <c r="HM351" s="120"/>
      <c r="HN351" s="120"/>
      <c r="HO351" s="120"/>
      <c r="HP351" s="120"/>
      <c r="HQ351" s="120"/>
      <c r="HR351" s="120"/>
      <c r="HS351" s="120"/>
      <c r="HT351" s="120"/>
      <c r="HU351" s="120"/>
      <c r="HV351" s="120"/>
      <c r="HW351" s="120"/>
      <c r="HX351" s="120"/>
      <c r="HY351" s="120"/>
      <c r="HZ351" s="120"/>
      <c r="IA351" s="120"/>
      <c r="IB351" s="120"/>
      <c r="IC351" s="120"/>
      <c r="ID351" s="120"/>
      <c r="IE351" s="120"/>
      <c r="IF351" s="120"/>
      <c r="IG351" s="120"/>
      <c r="IH351" s="120"/>
      <c r="II351" s="120"/>
      <c r="IJ351" s="120"/>
      <c r="IK351" s="120"/>
      <c r="IL351" s="120"/>
      <c r="IM351" s="120"/>
    </row>
    <row r="352" spans="2:247" ht="63" x14ac:dyDescent="0.25">
      <c r="B352" s="306" t="s">
        <v>142</v>
      </c>
      <c r="C352" s="50" t="s">
        <v>66</v>
      </c>
      <c r="D352" s="111">
        <v>4</v>
      </c>
      <c r="E352" s="111">
        <v>4</v>
      </c>
      <c r="F352" s="64">
        <f>E352/D352*100</f>
        <v>100</v>
      </c>
      <c r="G352" s="688"/>
      <c r="H352" s="80" t="s">
        <v>1231</v>
      </c>
      <c r="I352" s="718"/>
      <c r="J352" s="718"/>
      <c r="K352" s="718"/>
      <c r="L352" s="718"/>
      <c r="M352" s="718"/>
      <c r="N352" s="718"/>
      <c r="O352" s="718"/>
      <c r="P352" s="718"/>
      <c r="Q352" s="718"/>
      <c r="R352" s="718"/>
      <c r="S352" s="718"/>
      <c r="T352" s="718"/>
      <c r="U352" s="718"/>
      <c r="V352" s="718"/>
      <c r="W352" s="718"/>
      <c r="X352" s="718"/>
      <c r="Y352" s="718"/>
      <c r="Z352" s="718"/>
      <c r="AA352" s="718"/>
      <c r="AB352" s="718"/>
      <c r="AC352" s="718"/>
      <c r="AD352" s="718"/>
      <c r="AE352" s="718"/>
      <c r="AF352" s="718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20"/>
      <c r="AV352" s="120"/>
      <c r="AW352" s="120"/>
      <c r="AX352" s="120"/>
      <c r="AY352" s="120"/>
      <c r="AZ352" s="120"/>
      <c r="BA352" s="120"/>
      <c r="BB352" s="120"/>
      <c r="BC352" s="120"/>
      <c r="BD352" s="120"/>
      <c r="BE352" s="120"/>
      <c r="BF352" s="120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20"/>
      <c r="BS352" s="120"/>
      <c r="BT352" s="120"/>
      <c r="BU352" s="120"/>
      <c r="BV352" s="120"/>
      <c r="BW352" s="120"/>
      <c r="BX352" s="120"/>
      <c r="BY352" s="120"/>
      <c r="BZ352" s="120"/>
      <c r="CA352" s="120"/>
      <c r="CB352" s="120"/>
      <c r="CC352" s="120"/>
      <c r="CD352" s="120"/>
      <c r="CE352" s="120"/>
      <c r="CF352" s="120"/>
      <c r="CG352" s="120"/>
      <c r="CH352" s="120"/>
      <c r="CI352" s="120"/>
      <c r="CJ352" s="120"/>
      <c r="CK352" s="120"/>
      <c r="CL352" s="120"/>
      <c r="CM352" s="120"/>
      <c r="CN352" s="120"/>
      <c r="CO352" s="120"/>
      <c r="CP352" s="120"/>
      <c r="CQ352" s="120"/>
      <c r="CR352" s="120"/>
      <c r="CS352" s="120"/>
      <c r="CT352" s="120"/>
      <c r="CU352" s="120"/>
      <c r="CV352" s="120"/>
      <c r="CW352" s="120"/>
      <c r="CX352" s="120"/>
      <c r="CY352" s="120"/>
      <c r="CZ352" s="120"/>
      <c r="DA352" s="120"/>
      <c r="DB352" s="120"/>
      <c r="DC352" s="120"/>
      <c r="DD352" s="120"/>
      <c r="DE352" s="120"/>
      <c r="DF352" s="120"/>
      <c r="DG352" s="120"/>
      <c r="DH352" s="120"/>
      <c r="DI352" s="120"/>
      <c r="DJ352" s="120"/>
      <c r="DK352" s="120"/>
      <c r="DL352" s="120"/>
      <c r="DM352" s="120"/>
      <c r="DN352" s="120"/>
      <c r="DO352" s="120"/>
      <c r="DP352" s="120"/>
      <c r="DQ352" s="120"/>
      <c r="DR352" s="120"/>
      <c r="DS352" s="120"/>
      <c r="DT352" s="120"/>
      <c r="DU352" s="120"/>
      <c r="DV352" s="120"/>
      <c r="DW352" s="120"/>
      <c r="DX352" s="120"/>
      <c r="DY352" s="120"/>
      <c r="DZ352" s="120"/>
      <c r="EA352" s="120"/>
      <c r="EB352" s="120"/>
      <c r="EC352" s="120"/>
      <c r="ED352" s="120"/>
      <c r="EE352" s="120"/>
      <c r="EF352" s="120"/>
      <c r="EG352" s="120"/>
      <c r="EH352" s="120"/>
      <c r="EI352" s="120"/>
      <c r="EJ352" s="120"/>
      <c r="EK352" s="120"/>
      <c r="EL352" s="120"/>
      <c r="EM352" s="120"/>
      <c r="EN352" s="120"/>
      <c r="EO352" s="120"/>
      <c r="EP352" s="120"/>
      <c r="EQ352" s="120"/>
      <c r="ER352" s="120"/>
      <c r="ES352" s="120"/>
      <c r="ET352" s="120"/>
      <c r="EU352" s="120"/>
      <c r="EV352" s="120"/>
      <c r="EW352" s="120"/>
      <c r="EX352" s="120"/>
      <c r="EY352" s="120"/>
      <c r="EZ352" s="120"/>
      <c r="FA352" s="120"/>
      <c r="FB352" s="120"/>
      <c r="FC352" s="120"/>
      <c r="FD352" s="120"/>
      <c r="FE352" s="120"/>
      <c r="FF352" s="120"/>
      <c r="FG352" s="120"/>
      <c r="FH352" s="120"/>
      <c r="FI352" s="120"/>
      <c r="FJ352" s="120"/>
      <c r="FK352" s="120"/>
      <c r="FL352" s="120"/>
      <c r="FM352" s="120"/>
      <c r="FN352" s="120"/>
      <c r="FO352" s="120"/>
      <c r="FP352" s="120"/>
      <c r="FQ352" s="120"/>
      <c r="FR352" s="120"/>
      <c r="FS352" s="120"/>
      <c r="FT352" s="120"/>
      <c r="FU352" s="120"/>
      <c r="FV352" s="120"/>
      <c r="FW352" s="120"/>
      <c r="FX352" s="120"/>
      <c r="FY352" s="120"/>
      <c r="FZ352" s="120"/>
      <c r="GA352" s="120"/>
      <c r="GB352" s="120"/>
      <c r="GC352" s="120"/>
      <c r="GD352" s="120"/>
      <c r="GE352" s="120"/>
      <c r="GF352" s="120"/>
      <c r="GG352" s="120"/>
      <c r="GH352" s="120"/>
      <c r="GI352" s="120"/>
      <c r="GJ352" s="120"/>
      <c r="GK352" s="120"/>
      <c r="GL352" s="120"/>
      <c r="GM352" s="120"/>
      <c r="GN352" s="120"/>
      <c r="GO352" s="120"/>
      <c r="GP352" s="120"/>
      <c r="GQ352" s="120"/>
      <c r="GR352" s="120"/>
      <c r="GS352" s="120"/>
      <c r="GT352" s="120"/>
      <c r="GU352" s="120"/>
      <c r="GV352" s="120"/>
      <c r="GW352" s="120"/>
      <c r="GX352" s="120"/>
      <c r="GY352" s="120"/>
      <c r="GZ352" s="120"/>
      <c r="HA352" s="120"/>
      <c r="HB352" s="120"/>
      <c r="HC352" s="120"/>
      <c r="HD352" s="120"/>
      <c r="HE352" s="120"/>
      <c r="HF352" s="120"/>
      <c r="HG352" s="120"/>
      <c r="HH352" s="120"/>
      <c r="HI352" s="120"/>
      <c r="HJ352" s="120"/>
      <c r="HK352" s="120"/>
      <c r="HL352" s="120"/>
      <c r="HM352" s="120"/>
      <c r="HN352" s="120"/>
      <c r="HO352" s="120"/>
      <c r="HP352" s="120"/>
      <c r="HQ352" s="120"/>
      <c r="HR352" s="120"/>
      <c r="HS352" s="120"/>
      <c r="HT352" s="120"/>
      <c r="HU352" s="120"/>
      <c r="HV352" s="120"/>
      <c r="HW352" s="120"/>
      <c r="HX352" s="120"/>
      <c r="HY352" s="120"/>
      <c r="HZ352" s="120"/>
      <c r="IA352" s="120"/>
      <c r="IB352" s="120"/>
      <c r="IC352" s="120"/>
      <c r="ID352" s="120"/>
      <c r="IE352" s="120"/>
      <c r="IF352" s="120"/>
      <c r="IG352" s="120"/>
      <c r="IH352" s="120"/>
      <c r="II352" s="120"/>
      <c r="IJ352" s="120"/>
      <c r="IK352" s="120"/>
      <c r="IL352" s="120"/>
      <c r="IM352" s="120"/>
    </row>
    <row r="353" spans="1:247" ht="63" x14ac:dyDescent="0.25">
      <c r="B353" s="306" t="s">
        <v>143</v>
      </c>
      <c r="C353" s="50" t="s">
        <v>85</v>
      </c>
      <c r="D353" s="111"/>
      <c r="E353" s="111">
        <v>0</v>
      </c>
      <c r="F353" s="64"/>
      <c r="G353" s="688"/>
      <c r="H353" s="80" t="s">
        <v>1230</v>
      </c>
      <c r="I353" s="718"/>
      <c r="J353" s="718"/>
      <c r="K353" s="718"/>
      <c r="L353" s="718"/>
      <c r="M353" s="718"/>
      <c r="N353" s="718"/>
      <c r="O353" s="718"/>
      <c r="P353" s="718"/>
      <c r="Q353" s="718"/>
      <c r="R353" s="718"/>
      <c r="S353" s="718"/>
      <c r="T353" s="718"/>
      <c r="U353" s="718"/>
      <c r="V353" s="718"/>
      <c r="W353" s="718"/>
      <c r="X353" s="718"/>
      <c r="Y353" s="718"/>
      <c r="Z353" s="718"/>
      <c r="AA353" s="718"/>
      <c r="AB353" s="718"/>
      <c r="AC353" s="718"/>
      <c r="AD353" s="718"/>
      <c r="AE353" s="718"/>
      <c r="AF353" s="718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20"/>
      <c r="AV353" s="120"/>
      <c r="AW353" s="120"/>
      <c r="AX353" s="120"/>
      <c r="AY353" s="120"/>
      <c r="AZ353" s="120"/>
      <c r="BA353" s="120"/>
      <c r="BB353" s="120"/>
      <c r="BC353" s="120"/>
      <c r="BD353" s="120"/>
      <c r="BE353" s="120"/>
      <c r="BF353" s="120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20"/>
      <c r="BS353" s="120"/>
      <c r="BT353" s="120"/>
      <c r="BU353" s="120"/>
      <c r="BV353" s="120"/>
      <c r="BW353" s="120"/>
      <c r="BX353" s="120"/>
      <c r="BY353" s="120"/>
      <c r="BZ353" s="120"/>
      <c r="CA353" s="120"/>
      <c r="CB353" s="120"/>
      <c r="CC353" s="120"/>
      <c r="CD353" s="120"/>
      <c r="CE353" s="120"/>
      <c r="CF353" s="120"/>
      <c r="CG353" s="120"/>
      <c r="CH353" s="120"/>
      <c r="CI353" s="120"/>
      <c r="CJ353" s="120"/>
      <c r="CK353" s="120"/>
      <c r="CL353" s="120"/>
      <c r="CM353" s="120"/>
      <c r="CN353" s="120"/>
      <c r="CO353" s="120"/>
      <c r="CP353" s="120"/>
      <c r="CQ353" s="120"/>
      <c r="CR353" s="120"/>
      <c r="CS353" s="120"/>
      <c r="CT353" s="120"/>
      <c r="CU353" s="120"/>
      <c r="CV353" s="120"/>
      <c r="CW353" s="120"/>
      <c r="CX353" s="120"/>
      <c r="CY353" s="120"/>
      <c r="CZ353" s="120"/>
      <c r="DA353" s="120"/>
      <c r="DB353" s="120"/>
      <c r="DC353" s="120"/>
      <c r="DD353" s="120"/>
      <c r="DE353" s="120"/>
      <c r="DF353" s="120"/>
      <c r="DG353" s="120"/>
      <c r="DH353" s="120"/>
      <c r="DI353" s="120"/>
      <c r="DJ353" s="120"/>
      <c r="DK353" s="120"/>
      <c r="DL353" s="120"/>
      <c r="DM353" s="120"/>
      <c r="DN353" s="120"/>
      <c r="DO353" s="120"/>
      <c r="DP353" s="120"/>
      <c r="DQ353" s="120"/>
      <c r="DR353" s="120"/>
      <c r="DS353" s="120"/>
      <c r="DT353" s="120"/>
      <c r="DU353" s="120"/>
      <c r="DV353" s="120"/>
      <c r="DW353" s="120"/>
      <c r="DX353" s="120"/>
      <c r="DY353" s="120"/>
      <c r="DZ353" s="120"/>
      <c r="EA353" s="120"/>
      <c r="EB353" s="120"/>
      <c r="EC353" s="120"/>
      <c r="ED353" s="120"/>
      <c r="EE353" s="120"/>
      <c r="EF353" s="120"/>
      <c r="EG353" s="120"/>
      <c r="EH353" s="120"/>
      <c r="EI353" s="120"/>
      <c r="EJ353" s="120"/>
      <c r="EK353" s="120"/>
      <c r="EL353" s="120"/>
      <c r="EM353" s="120"/>
      <c r="EN353" s="120"/>
      <c r="EO353" s="120"/>
      <c r="EP353" s="120"/>
      <c r="EQ353" s="120"/>
      <c r="ER353" s="120"/>
      <c r="ES353" s="120"/>
      <c r="ET353" s="120"/>
      <c r="EU353" s="120"/>
      <c r="EV353" s="120"/>
      <c r="EW353" s="120"/>
      <c r="EX353" s="120"/>
      <c r="EY353" s="120"/>
      <c r="EZ353" s="120"/>
      <c r="FA353" s="120"/>
      <c r="FB353" s="120"/>
      <c r="FC353" s="120"/>
      <c r="FD353" s="120"/>
      <c r="FE353" s="120"/>
      <c r="FF353" s="120"/>
      <c r="FG353" s="120"/>
      <c r="FH353" s="120"/>
      <c r="FI353" s="120"/>
      <c r="FJ353" s="120"/>
      <c r="FK353" s="120"/>
      <c r="FL353" s="120"/>
      <c r="FM353" s="120"/>
      <c r="FN353" s="120"/>
      <c r="FO353" s="120"/>
      <c r="FP353" s="120"/>
      <c r="FQ353" s="120"/>
      <c r="FR353" s="120"/>
      <c r="FS353" s="120"/>
      <c r="FT353" s="120"/>
      <c r="FU353" s="120"/>
      <c r="FV353" s="120"/>
      <c r="FW353" s="120"/>
      <c r="FX353" s="120"/>
      <c r="FY353" s="120"/>
      <c r="FZ353" s="120"/>
      <c r="GA353" s="120"/>
      <c r="GB353" s="120"/>
      <c r="GC353" s="120"/>
      <c r="GD353" s="120"/>
      <c r="GE353" s="120"/>
      <c r="GF353" s="120"/>
      <c r="GG353" s="120"/>
      <c r="GH353" s="120"/>
      <c r="GI353" s="120"/>
      <c r="GJ353" s="120"/>
      <c r="GK353" s="120"/>
      <c r="GL353" s="120"/>
      <c r="GM353" s="120"/>
      <c r="GN353" s="120"/>
      <c r="GO353" s="120"/>
      <c r="GP353" s="120"/>
      <c r="GQ353" s="120"/>
      <c r="GR353" s="120"/>
      <c r="GS353" s="120"/>
      <c r="GT353" s="120"/>
      <c r="GU353" s="120"/>
      <c r="GV353" s="120"/>
      <c r="GW353" s="120"/>
      <c r="GX353" s="120"/>
      <c r="GY353" s="120"/>
      <c r="GZ353" s="120"/>
      <c r="HA353" s="120"/>
      <c r="HB353" s="120"/>
      <c r="HC353" s="120"/>
      <c r="HD353" s="120"/>
      <c r="HE353" s="120"/>
      <c r="HF353" s="120"/>
      <c r="HG353" s="120"/>
      <c r="HH353" s="120"/>
      <c r="HI353" s="120"/>
      <c r="HJ353" s="120"/>
      <c r="HK353" s="120"/>
      <c r="HL353" s="120"/>
      <c r="HM353" s="120"/>
      <c r="HN353" s="120"/>
      <c r="HO353" s="120"/>
      <c r="HP353" s="120"/>
      <c r="HQ353" s="120"/>
      <c r="HR353" s="120"/>
      <c r="HS353" s="120"/>
      <c r="HT353" s="120"/>
      <c r="HU353" s="120"/>
      <c r="HV353" s="120"/>
      <c r="HW353" s="120"/>
      <c r="HX353" s="120"/>
      <c r="HY353" s="120"/>
      <c r="HZ353" s="120"/>
      <c r="IA353" s="120"/>
      <c r="IB353" s="120"/>
      <c r="IC353" s="120"/>
      <c r="ID353" s="120"/>
      <c r="IE353" s="120"/>
      <c r="IF353" s="120"/>
      <c r="IG353" s="120"/>
      <c r="IH353" s="120"/>
      <c r="II353" s="120"/>
      <c r="IJ353" s="120"/>
      <c r="IK353" s="120"/>
      <c r="IL353" s="120"/>
      <c r="IM353" s="120"/>
    </row>
    <row r="354" spans="1:247" s="37" customFormat="1" x14ac:dyDescent="0.25">
      <c r="A354" s="137"/>
      <c r="B354" s="809" t="s">
        <v>393</v>
      </c>
      <c r="C354" s="810"/>
      <c r="D354" s="810"/>
      <c r="E354" s="810"/>
      <c r="F354" s="811"/>
      <c r="G354" s="703"/>
      <c r="H354" s="719"/>
      <c r="I354" s="720"/>
      <c r="J354" s="720"/>
      <c r="K354" s="720"/>
      <c r="L354" s="720"/>
      <c r="M354" s="720"/>
      <c r="N354" s="720"/>
      <c r="O354" s="720"/>
      <c r="P354" s="720"/>
      <c r="Q354" s="720"/>
      <c r="R354" s="720"/>
      <c r="S354" s="720"/>
      <c r="T354" s="720"/>
      <c r="U354" s="720"/>
      <c r="V354" s="720"/>
      <c r="W354" s="720"/>
      <c r="X354" s="720"/>
      <c r="Y354" s="720"/>
      <c r="Z354" s="720"/>
      <c r="AA354" s="720"/>
      <c r="AB354" s="720"/>
      <c r="AC354" s="720"/>
      <c r="AD354" s="720"/>
      <c r="AE354" s="720"/>
      <c r="AF354" s="720"/>
      <c r="AG354" s="138"/>
      <c r="AH354" s="138"/>
      <c r="AI354" s="138"/>
      <c r="AJ354" s="138"/>
      <c r="AK354" s="138"/>
      <c r="AL354" s="138"/>
      <c r="AM354" s="138"/>
      <c r="AN354" s="138"/>
      <c r="AO354" s="138"/>
      <c r="AP354" s="138"/>
      <c r="AQ354" s="138"/>
      <c r="AR354" s="138"/>
      <c r="AS354" s="138"/>
      <c r="AT354" s="138"/>
      <c r="AU354" s="138"/>
      <c r="AV354" s="138"/>
      <c r="AW354" s="138"/>
      <c r="AX354" s="138"/>
      <c r="AY354" s="138"/>
      <c r="AZ354" s="138"/>
      <c r="BA354" s="138"/>
      <c r="BB354" s="138"/>
      <c r="BC354" s="138"/>
      <c r="BD354" s="138"/>
      <c r="BE354" s="138"/>
      <c r="BF354" s="138"/>
      <c r="BG354" s="138"/>
      <c r="BH354" s="138"/>
      <c r="BI354" s="138"/>
      <c r="BJ354" s="138"/>
      <c r="BK354" s="138"/>
      <c r="BL354" s="138"/>
      <c r="BM354" s="138"/>
      <c r="BN354" s="138"/>
      <c r="BO354" s="138"/>
      <c r="BP354" s="138"/>
      <c r="BQ354" s="138"/>
      <c r="BR354" s="138"/>
      <c r="BS354" s="138"/>
      <c r="BT354" s="138"/>
      <c r="BU354" s="138"/>
      <c r="BV354" s="138"/>
      <c r="BW354" s="138"/>
      <c r="BX354" s="138"/>
      <c r="BY354" s="138"/>
      <c r="BZ354" s="138"/>
      <c r="CA354" s="138"/>
      <c r="CB354" s="138"/>
      <c r="CC354" s="138"/>
      <c r="CD354" s="138"/>
      <c r="CE354" s="138"/>
      <c r="CF354" s="138"/>
      <c r="CG354" s="138"/>
      <c r="CH354" s="138"/>
      <c r="CI354" s="138"/>
      <c r="CJ354" s="138"/>
      <c r="CK354" s="138"/>
      <c r="CL354" s="138"/>
      <c r="CM354" s="138"/>
      <c r="CN354" s="138"/>
      <c r="CO354" s="138"/>
      <c r="CP354" s="138"/>
      <c r="CQ354" s="138"/>
      <c r="CR354" s="138"/>
      <c r="CS354" s="138"/>
      <c r="CT354" s="138"/>
      <c r="CU354" s="138"/>
      <c r="CV354" s="138"/>
      <c r="CW354" s="138"/>
      <c r="CX354" s="138"/>
      <c r="CY354" s="138"/>
      <c r="CZ354" s="138"/>
      <c r="DA354" s="138"/>
      <c r="DB354" s="138"/>
      <c r="DC354" s="138"/>
      <c r="DD354" s="138"/>
      <c r="DE354" s="138"/>
      <c r="DF354" s="138"/>
      <c r="DG354" s="138"/>
      <c r="DH354" s="138"/>
      <c r="DI354" s="138"/>
      <c r="DJ354" s="138"/>
      <c r="DK354" s="138"/>
      <c r="DL354" s="138"/>
      <c r="DM354" s="138"/>
      <c r="DN354" s="138"/>
      <c r="DO354" s="138"/>
      <c r="DP354" s="138"/>
      <c r="DQ354" s="138"/>
      <c r="DR354" s="138"/>
      <c r="DS354" s="138"/>
      <c r="DT354" s="138"/>
      <c r="DU354" s="138"/>
      <c r="DV354" s="138"/>
      <c r="DW354" s="138"/>
      <c r="DX354" s="138"/>
      <c r="DY354" s="138"/>
      <c r="DZ354" s="138"/>
      <c r="EA354" s="138"/>
      <c r="EB354" s="138"/>
      <c r="EC354" s="138"/>
      <c r="ED354" s="138"/>
      <c r="EE354" s="138"/>
      <c r="EF354" s="138"/>
      <c r="EG354" s="138"/>
      <c r="EH354" s="138"/>
      <c r="EI354" s="138"/>
      <c r="EJ354" s="138"/>
      <c r="EK354" s="138"/>
      <c r="EL354" s="138"/>
      <c r="EM354" s="138"/>
      <c r="EN354" s="138"/>
      <c r="EO354" s="138"/>
      <c r="EP354" s="138"/>
      <c r="EQ354" s="138"/>
      <c r="ER354" s="138"/>
      <c r="ES354" s="138"/>
      <c r="ET354" s="138"/>
      <c r="EU354" s="138"/>
      <c r="EV354" s="138"/>
      <c r="EW354" s="138"/>
      <c r="EX354" s="138"/>
      <c r="EY354" s="138"/>
      <c r="EZ354" s="138"/>
      <c r="FA354" s="138"/>
      <c r="FB354" s="138"/>
      <c r="FC354" s="138"/>
      <c r="FD354" s="138"/>
      <c r="FE354" s="138"/>
      <c r="FF354" s="138"/>
      <c r="FG354" s="138"/>
      <c r="FH354" s="138"/>
      <c r="FI354" s="138"/>
      <c r="FJ354" s="138"/>
      <c r="FK354" s="138"/>
      <c r="FL354" s="138"/>
      <c r="FM354" s="138"/>
      <c r="FN354" s="138"/>
      <c r="FO354" s="138"/>
      <c r="FP354" s="138"/>
      <c r="FQ354" s="138"/>
      <c r="FR354" s="138"/>
      <c r="FS354" s="138"/>
      <c r="FT354" s="138"/>
      <c r="FU354" s="138"/>
      <c r="FV354" s="138"/>
      <c r="FW354" s="138"/>
      <c r="FX354" s="138"/>
      <c r="FY354" s="138"/>
      <c r="FZ354" s="138"/>
      <c r="GA354" s="138"/>
      <c r="GB354" s="138"/>
      <c r="GC354" s="138"/>
      <c r="GD354" s="138"/>
      <c r="GE354" s="138"/>
      <c r="GF354" s="138"/>
      <c r="GG354" s="138"/>
      <c r="GH354" s="138"/>
      <c r="GI354" s="138"/>
      <c r="GJ354" s="138"/>
      <c r="GK354" s="138"/>
      <c r="GL354" s="138"/>
      <c r="GM354" s="138"/>
      <c r="GN354" s="138"/>
      <c r="GO354" s="138"/>
      <c r="GP354" s="138"/>
      <c r="GQ354" s="138"/>
      <c r="GR354" s="138"/>
      <c r="GS354" s="138"/>
      <c r="GT354" s="138"/>
      <c r="GU354" s="138"/>
      <c r="GV354" s="138"/>
      <c r="GW354" s="138"/>
      <c r="GX354" s="138"/>
      <c r="GY354" s="138"/>
      <c r="GZ354" s="138"/>
      <c r="HA354" s="138"/>
      <c r="HB354" s="138"/>
      <c r="HC354" s="138"/>
      <c r="HD354" s="138"/>
      <c r="HE354" s="138"/>
      <c r="HF354" s="138"/>
      <c r="HG354" s="138"/>
      <c r="HH354" s="138"/>
      <c r="HI354" s="138"/>
      <c r="HJ354" s="138"/>
      <c r="HK354" s="138"/>
      <c r="HL354" s="138"/>
      <c r="HM354" s="138"/>
      <c r="HN354" s="138"/>
      <c r="HO354" s="138"/>
      <c r="HP354" s="138"/>
      <c r="HQ354" s="138"/>
      <c r="HR354" s="138"/>
      <c r="HS354" s="138"/>
      <c r="HT354" s="138"/>
      <c r="HU354" s="138"/>
      <c r="HV354" s="138"/>
      <c r="HW354" s="138"/>
      <c r="HX354" s="138"/>
      <c r="HY354" s="138"/>
      <c r="HZ354" s="138"/>
      <c r="IA354" s="138"/>
      <c r="IB354" s="138"/>
      <c r="IC354" s="138"/>
      <c r="ID354" s="138"/>
      <c r="IE354" s="138"/>
      <c r="IF354" s="138"/>
      <c r="IG354" s="138"/>
      <c r="IH354" s="138"/>
      <c r="II354" s="138"/>
      <c r="IJ354" s="138"/>
      <c r="IK354" s="138"/>
      <c r="IL354" s="138"/>
      <c r="IM354" s="138"/>
    </row>
    <row r="355" spans="1:247" x14ac:dyDescent="0.25">
      <c r="B355" s="806" t="s">
        <v>394</v>
      </c>
      <c r="C355" s="807"/>
      <c r="D355" s="807"/>
      <c r="E355" s="807"/>
      <c r="F355" s="808"/>
      <c r="G355" s="688"/>
      <c r="H355" s="431"/>
      <c r="I355" s="718"/>
      <c r="J355" s="718"/>
      <c r="K355" s="718"/>
      <c r="L355" s="718"/>
      <c r="M355" s="718"/>
      <c r="N355" s="718"/>
      <c r="O355" s="718"/>
      <c r="P355" s="718"/>
      <c r="Q355" s="718"/>
      <c r="R355" s="718"/>
      <c r="S355" s="718"/>
      <c r="T355" s="718"/>
      <c r="U355" s="718"/>
      <c r="V355" s="718"/>
      <c r="W355" s="718"/>
      <c r="X355" s="718"/>
      <c r="Y355" s="718"/>
      <c r="Z355" s="718"/>
      <c r="AA355" s="718"/>
      <c r="AB355" s="718"/>
      <c r="AC355" s="718"/>
      <c r="AD355" s="718"/>
      <c r="AE355" s="718"/>
      <c r="AF355" s="718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20"/>
      <c r="AV355" s="120"/>
      <c r="AW355" s="120"/>
      <c r="AX355" s="120"/>
      <c r="AY355" s="120"/>
      <c r="AZ355" s="120"/>
      <c r="BA355" s="120"/>
      <c r="BB355" s="120"/>
      <c r="BC355" s="120"/>
      <c r="BD355" s="120"/>
      <c r="BE355" s="120"/>
      <c r="BF355" s="120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20"/>
      <c r="BS355" s="120"/>
      <c r="BT355" s="120"/>
      <c r="BU355" s="120"/>
      <c r="BV355" s="120"/>
      <c r="BW355" s="120"/>
      <c r="BX355" s="120"/>
      <c r="BY355" s="120"/>
      <c r="BZ355" s="120"/>
      <c r="CA355" s="120"/>
      <c r="CB355" s="120"/>
      <c r="CC355" s="120"/>
      <c r="CD355" s="120"/>
      <c r="CE355" s="120"/>
      <c r="CF355" s="120"/>
      <c r="CG355" s="120"/>
      <c r="CH355" s="120"/>
      <c r="CI355" s="120"/>
      <c r="CJ355" s="120"/>
      <c r="CK355" s="120"/>
      <c r="CL355" s="120"/>
      <c r="CM355" s="120"/>
      <c r="CN355" s="120"/>
      <c r="CO355" s="120"/>
      <c r="CP355" s="120"/>
      <c r="CQ355" s="120"/>
      <c r="CR355" s="120"/>
      <c r="CS355" s="120"/>
      <c r="CT355" s="120"/>
      <c r="CU355" s="120"/>
      <c r="CV355" s="120"/>
      <c r="CW355" s="120"/>
      <c r="CX355" s="120"/>
      <c r="CY355" s="120"/>
      <c r="CZ355" s="120"/>
      <c r="DA355" s="120"/>
      <c r="DB355" s="120"/>
      <c r="DC355" s="120"/>
      <c r="DD355" s="120"/>
      <c r="DE355" s="120"/>
      <c r="DF355" s="120"/>
      <c r="DG355" s="120"/>
      <c r="DH355" s="120"/>
      <c r="DI355" s="120"/>
      <c r="DJ355" s="120"/>
      <c r="DK355" s="120"/>
      <c r="DL355" s="120"/>
      <c r="DM355" s="120"/>
      <c r="DN355" s="120"/>
      <c r="DO355" s="120"/>
      <c r="DP355" s="120"/>
      <c r="DQ355" s="120"/>
      <c r="DR355" s="120"/>
      <c r="DS355" s="120"/>
      <c r="DT355" s="120"/>
      <c r="DU355" s="120"/>
      <c r="DV355" s="120"/>
      <c r="DW355" s="120"/>
      <c r="DX355" s="120"/>
      <c r="DY355" s="120"/>
      <c r="DZ355" s="120"/>
      <c r="EA355" s="120"/>
      <c r="EB355" s="120"/>
      <c r="EC355" s="120"/>
      <c r="ED355" s="120"/>
      <c r="EE355" s="120"/>
      <c r="EF355" s="120"/>
      <c r="EG355" s="120"/>
      <c r="EH355" s="120"/>
      <c r="EI355" s="120"/>
      <c r="EJ355" s="120"/>
      <c r="EK355" s="120"/>
      <c r="EL355" s="120"/>
      <c r="EM355" s="120"/>
      <c r="EN355" s="120"/>
      <c r="EO355" s="120"/>
      <c r="EP355" s="120"/>
      <c r="EQ355" s="120"/>
      <c r="ER355" s="120"/>
      <c r="ES355" s="120"/>
      <c r="ET355" s="120"/>
      <c r="EU355" s="120"/>
      <c r="EV355" s="120"/>
      <c r="EW355" s="120"/>
      <c r="EX355" s="120"/>
      <c r="EY355" s="120"/>
      <c r="EZ355" s="120"/>
      <c r="FA355" s="120"/>
      <c r="FB355" s="120"/>
      <c r="FC355" s="120"/>
      <c r="FD355" s="120"/>
      <c r="FE355" s="120"/>
      <c r="FF355" s="120"/>
      <c r="FG355" s="120"/>
      <c r="FH355" s="120"/>
      <c r="FI355" s="120"/>
      <c r="FJ355" s="120"/>
      <c r="FK355" s="120"/>
      <c r="FL355" s="120"/>
      <c r="FM355" s="120"/>
      <c r="FN355" s="120"/>
      <c r="FO355" s="120"/>
      <c r="FP355" s="120"/>
      <c r="FQ355" s="120"/>
      <c r="FR355" s="120"/>
      <c r="FS355" s="120"/>
      <c r="FT355" s="120"/>
      <c r="FU355" s="120"/>
      <c r="FV355" s="120"/>
      <c r="FW355" s="120"/>
      <c r="FX355" s="120"/>
      <c r="FY355" s="120"/>
      <c r="FZ355" s="120"/>
      <c r="GA355" s="120"/>
      <c r="GB355" s="120"/>
      <c r="GC355" s="120"/>
      <c r="GD355" s="120"/>
      <c r="GE355" s="120"/>
      <c r="GF355" s="120"/>
      <c r="GG355" s="120"/>
      <c r="GH355" s="120"/>
      <c r="GI355" s="120"/>
      <c r="GJ355" s="120"/>
      <c r="GK355" s="120"/>
      <c r="GL355" s="120"/>
      <c r="GM355" s="120"/>
      <c r="GN355" s="120"/>
      <c r="GO355" s="120"/>
      <c r="GP355" s="120"/>
      <c r="GQ355" s="120"/>
      <c r="GR355" s="120"/>
      <c r="GS355" s="120"/>
      <c r="GT355" s="120"/>
      <c r="GU355" s="120"/>
      <c r="GV355" s="120"/>
      <c r="GW355" s="120"/>
      <c r="GX355" s="120"/>
      <c r="GY355" s="120"/>
      <c r="GZ355" s="120"/>
      <c r="HA355" s="120"/>
      <c r="HB355" s="120"/>
      <c r="HC355" s="120"/>
      <c r="HD355" s="120"/>
      <c r="HE355" s="120"/>
      <c r="HF355" s="120"/>
      <c r="HG355" s="120"/>
      <c r="HH355" s="120"/>
      <c r="HI355" s="120"/>
      <c r="HJ355" s="120"/>
      <c r="HK355" s="120"/>
      <c r="HL355" s="120"/>
      <c r="HM355" s="120"/>
      <c r="HN355" s="120"/>
      <c r="HO355" s="120"/>
      <c r="HP355" s="120"/>
      <c r="HQ355" s="120"/>
      <c r="HR355" s="120"/>
      <c r="HS355" s="120"/>
      <c r="HT355" s="120"/>
      <c r="HU355" s="120"/>
      <c r="HV355" s="120"/>
      <c r="HW355" s="120"/>
      <c r="HX355" s="120"/>
      <c r="HY355" s="120"/>
      <c r="HZ355" s="120"/>
      <c r="IA355" s="120"/>
      <c r="IB355" s="120"/>
      <c r="IC355" s="120"/>
      <c r="ID355" s="120"/>
      <c r="IE355" s="120"/>
      <c r="IF355" s="120"/>
      <c r="IG355" s="120"/>
      <c r="IH355" s="120"/>
      <c r="II355" s="120"/>
      <c r="IJ355" s="120"/>
      <c r="IK355" s="120"/>
      <c r="IL355" s="120"/>
      <c r="IM355" s="120"/>
    </row>
    <row r="356" spans="1:247" ht="118.5" customHeight="1" x14ac:dyDescent="0.25">
      <c r="B356" s="306" t="s">
        <v>144</v>
      </c>
      <c r="C356" s="50" t="s">
        <v>52</v>
      </c>
      <c r="D356" s="310">
        <v>75</v>
      </c>
      <c r="E356" s="310">
        <f>1475/2312*100</f>
        <v>63.797577854671282</v>
      </c>
      <c r="F356" s="64">
        <f>IF((E356/D356*100)&gt;100,"100",E356/D356*100)</f>
        <v>85.063437139561699</v>
      </c>
      <c r="G356" s="688"/>
      <c r="H356" s="443" t="s">
        <v>1232</v>
      </c>
      <c r="I356" s="718"/>
      <c r="J356" s="718"/>
      <c r="K356" s="718"/>
      <c r="L356" s="718"/>
      <c r="M356" s="718"/>
      <c r="N356" s="718"/>
      <c r="O356" s="718"/>
      <c r="P356" s="718"/>
      <c r="Q356" s="718"/>
      <c r="R356" s="718"/>
      <c r="S356" s="718"/>
      <c r="T356" s="718"/>
      <c r="U356" s="718"/>
      <c r="V356" s="718"/>
      <c r="W356" s="718"/>
      <c r="X356" s="718"/>
      <c r="Y356" s="718"/>
      <c r="Z356" s="718"/>
      <c r="AA356" s="718"/>
      <c r="AB356" s="718"/>
      <c r="AC356" s="718"/>
      <c r="AD356" s="718"/>
      <c r="AE356" s="718"/>
      <c r="AF356" s="718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20"/>
      <c r="BB356" s="120"/>
      <c r="BC356" s="120"/>
      <c r="BD356" s="120"/>
      <c r="BE356" s="120"/>
      <c r="BF356" s="120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20"/>
      <c r="BS356" s="120"/>
      <c r="BT356" s="120"/>
      <c r="BU356" s="120"/>
      <c r="BV356" s="120"/>
      <c r="BW356" s="120"/>
      <c r="BX356" s="120"/>
      <c r="BY356" s="120"/>
      <c r="BZ356" s="120"/>
      <c r="CA356" s="120"/>
      <c r="CB356" s="120"/>
      <c r="CC356" s="120"/>
      <c r="CD356" s="120"/>
      <c r="CE356" s="120"/>
      <c r="CF356" s="120"/>
      <c r="CG356" s="120"/>
      <c r="CH356" s="120"/>
      <c r="CI356" s="120"/>
      <c r="CJ356" s="120"/>
      <c r="CK356" s="120"/>
      <c r="CL356" s="120"/>
      <c r="CM356" s="120"/>
      <c r="CN356" s="120"/>
      <c r="CO356" s="120"/>
      <c r="CP356" s="120"/>
      <c r="CQ356" s="120"/>
      <c r="CR356" s="120"/>
      <c r="CS356" s="120"/>
      <c r="CT356" s="120"/>
      <c r="CU356" s="120"/>
      <c r="CV356" s="120"/>
      <c r="CW356" s="120"/>
      <c r="CX356" s="120"/>
      <c r="CY356" s="120"/>
      <c r="CZ356" s="120"/>
      <c r="DA356" s="120"/>
      <c r="DB356" s="120"/>
      <c r="DC356" s="120"/>
      <c r="DD356" s="120"/>
      <c r="DE356" s="120"/>
      <c r="DF356" s="120"/>
      <c r="DG356" s="120"/>
      <c r="DH356" s="120"/>
      <c r="DI356" s="120"/>
      <c r="DJ356" s="120"/>
      <c r="DK356" s="120"/>
      <c r="DL356" s="120"/>
      <c r="DM356" s="120"/>
      <c r="DN356" s="120"/>
      <c r="DO356" s="120"/>
      <c r="DP356" s="120"/>
      <c r="DQ356" s="120"/>
      <c r="DR356" s="120"/>
      <c r="DS356" s="120"/>
      <c r="DT356" s="120"/>
      <c r="DU356" s="120"/>
      <c r="DV356" s="120"/>
      <c r="DW356" s="120"/>
      <c r="DX356" s="120"/>
      <c r="DY356" s="120"/>
      <c r="DZ356" s="120"/>
      <c r="EA356" s="120"/>
      <c r="EB356" s="120"/>
      <c r="EC356" s="120"/>
      <c r="ED356" s="120"/>
      <c r="EE356" s="120"/>
      <c r="EF356" s="120"/>
      <c r="EG356" s="120"/>
      <c r="EH356" s="120"/>
      <c r="EI356" s="120"/>
      <c r="EJ356" s="120"/>
      <c r="EK356" s="120"/>
      <c r="EL356" s="120"/>
      <c r="EM356" s="120"/>
      <c r="EN356" s="120"/>
      <c r="EO356" s="120"/>
      <c r="EP356" s="120"/>
      <c r="EQ356" s="120"/>
      <c r="ER356" s="120"/>
      <c r="ES356" s="120"/>
      <c r="ET356" s="120"/>
      <c r="EU356" s="120"/>
      <c r="EV356" s="120"/>
      <c r="EW356" s="120"/>
      <c r="EX356" s="120"/>
      <c r="EY356" s="120"/>
      <c r="EZ356" s="120"/>
      <c r="FA356" s="120"/>
      <c r="FB356" s="120"/>
      <c r="FC356" s="120"/>
      <c r="FD356" s="120"/>
      <c r="FE356" s="120"/>
      <c r="FF356" s="120"/>
      <c r="FG356" s="120"/>
      <c r="FH356" s="120"/>
      <c r="FI356" s="120"/>
      <c r="FJ356" s="120"/>
      <c r="FK356" s="120"/>
      <c r="FL356" s="120"/>
      <c r="FM356" s="120"/>
      <c r="FN356" s="120"/>
      <c r="FO356" s="120"/>
      <c r="FP356" s="120"/>
      <c r="FQ356" s="120"/>
      <c r="FR356" s="120"/>
      <c r="FS356" s="120"/>
      <c r="FT356" s="120"/>
      <c r="FU356" s="120"/>
      <c r="FV356" s="120"/>
      <c r="FW356" s="120"/>
      <c r="FX356" s="120"/>
      <c r="FY356" s="120"/>
      <c r="FZ356" s="120"/>
      <c r="GA356" s="120"/>
      <c r="GB356" s="120"/>
      <c r="GC356" s="120"/>
      <c r="GD356" s="120"/>
      <c r="GE356" s="120"/>
      <c r="GF356" s="120"/>
      <c r="GG356" s="120"/>
      <c r="GH356" s="120"/>
      <c r="GI356" s="120"/>
      <c r="GJ356" s="120"/>
      <c r="GK356" s="120"/>
      <c r="GL356" s="120"/>
      <c r="GM356" s="120"/>
      <c r="GN356" s="120"/>
      <c r="GO356" s="120"/>
      <c r="GP356" s="120"/>
      <c r="GQ356" s="120"/>
      <c r="GR356" s="120"/>
      <c r="GS356" s="120"/>
      <c r="GT356" s="120"/>
      <c r="GU356" s="120"/>
      <c r="GV356" s="120"/>
      <c r="GW356" s="120"/>
      <c r="GX356" s="120"/>
      <c r="GY356" s="120"/>
      <c r="GZ356" s="120"/>
      <c r="HA356" s="120"/>
      <c r="HB356" s="120"/>
      <c r="HC356" s="120"/>
      <c r="HD356" s="120"/>
      <c r="HE356" s="120"/>
      <c r="HF356" s="120"/>
      <c r="HG356" s="120"/>
      <c r="HH356" s="120"/>
      <c r="HI356" s="120"/>
      <c r="HJ356" s="120"/>
      <c r="HK356" s="120"/>
      <c r="HL356" s="120"/>
      <c r="HM356" s="120"/>
      <c r="HN356" s="120"/>
      <c r="HO356" s="120"/>
      <c r="HP356" s="120"/>
      <c r="HQ356" s="120"/>
      <c r="HR356" s="120"/>
      <c r="HS356" s="120"/>
      <c r="HT356" s="120"/>
      <c r="HU356" s="120"/>
      <c r="HV356" s="120"/>
      <c r="HW356" s="120"/>
      <c r="HX356" s="120"/>
      <c r="HY356" s="120"/>
      <c r="HZ356" s="120"/>
      <c r="IA356" s="120"/>
      <c r="IB356" s="120"/>
      <c r="IC356" s="120"/>
      <c r="ID356" s="120"/>
      <c r="IE356" s="120"/>
      <c r="IF356" s="120"/>
      <c r="IG356" s="120"/>
      <c r="IH356" s="120"/>
      <c r="II356" s="120"/>
      <c r="IJ356" s="120"/>
      <c r="IK356" s="120"/>
      <c r="IL356" s="120"/>
      <c r="IM356" s="120"/>
    </row>
    <row r="357" spans="1:247" ht="35.25" customHeight="1" x14ac:dyDescent="0.25">
      <c r="B357" s="98" t="s">
        <v>1233</v>
      </c>
      <c r="C357" s="321" t="s">
        <v>66</v>
      </c>
      <c r="D357" s="310">
        <v>0</v>
      </c>
      <c r="E357" s="310">
        <v>0</v>
      </c>
      <c r="F357" s="446"/>
      <c r="G357" s="688"/>
      <c r="H357" s="443"/>
      <c r="I357" s="718"/>
      <c r="J357" s="718"/>
      <c r="K357" s="718"/>
      <c r="L357" s="718"/>
      <c r="M357" s="718"/>
      <c r="N357" s="718"/>
      <c r="O357" s="718"/>
      <c r="P357" s="718"/>
      <c r="Q357" s="718"/>
      <c r="R357" s="718"/>
      <c r="S357" s="718"/>
      <c r="T357" s="718"/>
      <c r="U357" s="718"/>
      <c r="V357" s="718"/>
      <c r="W357" s="718"/>
      <c r="X357" s="718"/>
      <c r="Y357" s="718"/>
      <c r="Z357" s="718"/>
      <c r="AA357" s="718"/>
      <c r="AB357" s="718"/>
      <c r="AC357" s="718"/>
      <c r="AD357" s="718"/>
      <c r="AE357" s="718"/>
      <c r="AF357" s="718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20"/>
      <c r="AV357" s="120"/>
      <c r="AW357" s="120"/>
      <c r="AX357" s="120"/>
      <c r="AY357" s="120"/>
      <c r="AZ357" s="120"/>
      <c r="BA357" s="120"/>
      <c r="BB357" s="120"/>
      <c r="BC357" s="120"/>
      <c r="BD357" s="120"/>
      <c r="BE357" s="120"/>
      <c r="BF357" s="120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20"/>
      <c r="BS357" s="120"/>
      <c r="BT357" s="120"/>
      <c r="BU357" s="120"/>
      <c r="BV357" s="120"/>
      <c r="BW357" s="120"/>
      <c r="BX357" s="120"/>
      <c r="BY357" s="120"/>
      <c r="BZ357" s="120"/>
      <c r="CA357" s="120"/>
      <c r="CB357" s="120"/>
      <c r="CC357" s="120"/>
      <c r="CD357" s="120"/>
      <c r="CE357" s="120"/>
      <c r="CF357" s="120"/>
      <c r="CG357" s="120"/>
      <c r="CH357" s="120"/>
      <c r="CI357" s="120"/>
      <c r="CJ357" s="120"/>
      <c r="CK357" s="120"/>
      <c r="CL357" s="120"/>
      <c r="CM357" s="120"/>
      <c r="CN357" s="120"/>
      <c r="CO357" s="120"/>
      <c r="CP357" s="120"/>
      <c r="CQ357" s="120"/>
      <c r="CR357" s="120"/>
      <c r="CS357" s="120"/>
      <c r="CT357" s="120"/>
      <c r="CU357" s="120"/>
      <c r="CV357" s="120"/>
      <c r="CW357" s="120"/>
      <c r="CX357" s="120"/>
      <c r="CY357" s="120"/>
      <c r="CZ357" s="120"/>
      <c r="DA357" s="120"/>
      <c r="DB357" s="120"/>
      <c r="DC357" s="120"/>
      <c r="DD357" s="120"/>
      <c r="DE357" s="120"/>
      <c r="DF357" s="120"/>
      <c r="DG357" s="120"/>
      <c r="DH357" s="120"/>
      <c r="DI357" s="120"/>
      <c r="DJ357" s="120"/>
      <c r="DK357" s="120"/>
      <c r="DL357" s="120"/>
      <c r="DM357" s="120"/>
      <c r="DN357" s="120"/>
      <c r="DO357" s="120"/>
      <c r="DP357" s="120"/>
      <c r="DQ357" s="120"/>
      <c r="DR357" s="120"/>
      <c r="DS357" s="120"/>
      <c r="DT357" s="120"/>
      <c r="DU357" s="120"/>
      <c r="DV357" s="120"/>
      <c r="DW357" s="120"/>
      <c r="DX357" s="120"/>
      <c r="DY357" s="120"/>
      <c r="DZ357" s="120"/>
      <c r="EA357" s="120"/>
      <c r="EB357" s="120"/>
      <c r="EC357" s="120"/>
      <c r="ED357" s="120"/>
      <c r="EE357" s="120"/>
      <c r="EF357" s="120"/>
      <c r="EG357" s="120"/>
      <c r="EH357" s="120"/>
      <c r="EI357" s="120"/>
      <c r="EJ357" s="120"/>
      <c r="EK357" s="120"/>
      <c r="EL357" s="120"/>
      <c r="EM357" s="120"/>
      <c r="EN357" s="120"/>
      <c r="EO357" s="120"/>
      <c r="EP357" s="120"/>
      <c r="EQ357" s="120"/>
      <c r="ER357" s="120"/>
      <c r="ES357" s="120"/>
      <c r="ET357" s="120"/>
      <c r="EU357" s="120"/>
      <c r="EV357" s="120"/>
      <c r="EW357" s="120"/>
      <c r="EX357" s="120"/>
      <c r="EY357" s="120"/>
      <c r="EZ357" s="120"/>
      <c r="FA357" s="120"/>
      <c r="FB357" s="120"/>
      <c r="FC357" s="120"/>
      <c r="FD357" s="120"/>
      <c r="FE357" s="120"/>
      <c r="FF357" s="120"/>
      <c r="FG357" s="120"/>
      <c r="FH357" s="120"/>
      <c r="FI357" s="120"/>
      <c r="FJ357" s="120"/>
      <c r="FK357" s="120"/>
      <c r="FL357" s="120"/>
      <c r="FM357" s="120"/>
      <c r="FN357" s="120"/>
      <c r="FO357" s="120"/>
      <c r="FP357" s="120"/>
      <c r="FQ357" s="120"/>
      <c r="FR357" s="120"/>
      <c r="FS357" s="120"/>
      <c r="FT357" s="120"/>
      <c r="FU357" s="120"/>
      <c r="FV357" s="120"/>
      <c r="FW357" s="120"/>
      <c r="FX357" s="120"/>
      <c r="FY357" s="120"/>
      <c r="FZ357" s="120"/>
      <c r="GA357" s="120"/>
      <c r="GB357" s="120"/>
      <c r="GC357" s="120"/>
      <c r="GD357" s="120"/>
      <c r="GE357" s="120"/>
      <c r="GF357" s="120"/>
      <c r="GG357" s="120"/>
      <c r="GH357" s="120"/>
      <c r="GI357" s="120"/>
      <c r="GJ357" s="120"/>
      <c r="GK357" s="120"/>
      <c r="GL357" s="120"/>
      <c r="GM357" s="120"/>
      <c r="GN357" s="120"/>
      <c r="GO357" s="120"/>
      <c r="GP357" s="120"/>
      <c r="GQ357" s="120"/>
      <c r="GR357" s="120"/>
      <c r="GS357" s="120"/>
      <c r="GT357" s="120"/>
      <c r="GU357" s="120"/>
      <c r="GV357" s="120"/>
      <c r="GW357" s="120"/>
      <c r="GX357" s="120"/>
      <c r="GY357" s="120"/>
      <c r="GZ357" s="120"/>
      <c r="HA357" s="120"/>
      <c r="HB357" s="120"/>
      <c r="HC357" s="120"/>
      <c r="HD357" s="120"/>
      <c r="HE357" s="120"/>
      <c r="HF357" s="120"/>
      <c r="HG357" s="120"/>
      <c r="HH357" s="120"/>
      <c r="HI357" s="120"/>
      <c r="HJ357" s="120"/>
      <c r="HK357" s="120"/>
      <c r="HL357" s="120"/>
      <c r="HM357" s="120"/>
      <c r="HN357" s="120"/>
      <c r="HO357" s="120"/>
      <c r="HP357" s="120"/>
      <c r="HQ357" s="120"/>
      <c r="HR357" s="120"/>
      <c r="HS357" s="120"/>
      <c r="HT357" s="120"/>
      <c r="HU357" s="120"/>
      <c r="HV357" s="120"/>
      <c r="HW357" s="120"/>
      <c r="HX357" s="120"/>
      <c r="HY357" s="120"/>
      <c r="HZ357" s="120"/>
      <c r="IA357" s="120"/>
      <c r="IB357" s="120"/>
      <c r="IC357" s="120"/>
      <c r="ID357" s="120"/>
      <c r="IE357" s="120"/>
      <c r="IF357" s="120"/>
      <c r="IG357" s="120"/>
      <c r="IH357" s="120"/>
      <c r="II357" s="120"/>
      <c r="IJ357" s="120"/>
      <c r="IK357" s="120"/>
      <c r="IL357" s="120"/>
      <c r="IM357" s="120"/>
    </row>
    <row r="358" spans="1:247" x14ac:dyDescent="0.25">
      <c r="B358" s="806" t="s">
        <v>395</v>
      </c>
      <c r="C358" s="807"/>
      <c r="D358" s="807"/>
      <c r="E358" s="807"/>
      <c r="F358" s="808"/>
      <c r="G358" s="688"/>
      <c r="H358" s="431"/>
      <c r="I358" s="718"/>
      <c r="J358" s="718"/>
      <c r="K358" s="718"/>
      <c r="L358" s="718"/>
      <c r="M358" s="718"/>
      <c r="N358" s="718"/>
      <c r="O358" s="718"/>
      <c r="P358" s="718"/>
      <c r="Q358" s="718"/>
      <c r="R358" s="718"/>
      <c r="S358" s="718"/>
      <c r="T358" s="718"/>
      <c r="U358" s="718"/>
      <c r="V358" s="718"/>
      <c r="W358" s="718"/>
      <c r="X358" s="718"/>
      <c r="Y358" s="718"/>
      <c r="Z358" s="718"/>
      <c r="AA358" s="718"/>
      <c r="AB358" s="718"/>
      <c r="AC358" s="718"/>
      <c r="AD358" s="718"/>
      <c r="AE358" s="718"/>
      <c r="AF358" s="718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20"/>
      <c r="AV358" s="120"/>
      <c r="AW358" s="120"/>
      <c r="AX358" s="120"/>
      <c r="AY358" s="120"/>
      <c r="AZ358" s="120"/>
      <c r="BA358" s="120"/>
      <c r="BB358" s="120"/>
      <c r="BC358" s="120"/>
      <c r="BD358" s="120"/>
      <c r="BE358" s="120"/>
      <c r="BF358" s="120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20"/>
      <c r="BS358" s="120"/>
      <c r="BT358" s="120"/>
      <c r="BU358" s="120"/>
      <c r="BV358" s="120"/>
      <c r="BW358" s="120"/>
      <c r="BX358" s="120"/>
      <c r="BY358" s="120"/>
      <c r="BZ358" s="120"/>
      <c r="CA358" s="120"/>
      <c r="CB358" s="120"/>
      <c r="CC358" s="120"/>
      <c r="CD358" s="120"/>
      <c r="CE358" s="120"/>
      <c r="CF358" s="120"/>
      <c r="CG358" s="120"/>
      <c r="CH358" s="120"/>
      <c r="CI358" s="120"/>
      <c r="CJ358" s="120"/>
      <c r="CK358" s="120"/>
      <c r="CL358" s="120"/>
      <c r="CM358" s="120"/>
      <c r="CN358" s="120"/>
      <c r="CO358" s="120"/>
      <c r="CP358" s="120"/>
      <c r="CQ358" s="120"/>
      <c r="CR358" s="120"/>
      <c r="CS358" s="120"/>
      <c r="CT358" s="120"/>
      <c r="CU358" s="120"/>
      <c r="CV358" s="120"/>
      <c r="CW358" s="120"/>
      <c r="CX358" s="120"/>
      <c r="CY358" s="120"/>
      <c r="CZ358" s="120"/>
      <c r="DA358" s="120"/>
      <c r="DB358" s="120"/>
      <c r="DC358" s="120"/>
      <c r="DD358" s="120"/>
      <c r="DE358" s="120"/>
      <c r="DF358" s="120"/>
      <c r="DG358" s="120"/>
      <c r="DH358" s="120"/>
      <c r="DI358" s="120"/>
      <c r="DJ358" s="120"/>
      <c r="DK358" s="120"/>
      <c r="DL358" s="120"/>
      <c r="DM358" s="120"/>
      <c r="DN358" s="120"/>
      <c r="DO358" s="120"/>
      <c r="DP358" s="120"/>
      <c r="DQ358" s="120"/>
      <c r="DR358" s="120"/>
      <c r="DS358" s="120"/>
      <c r="DT358" s="120"/>
      <c r="DU358" s="120"/>
      <c r="DV358" s="120"/>
      <c r="DW358" s="120"/>
      <c r="DX358" s="120"/>
      <c r="DY358" s="120"/>
      <c r="DZ358" s="120"/>
      <c r="EA358" s="120"/>
      <c r="EB358" s="120"/>
      <c r="EC358" s="120"/>
      <c r="ED358" s="120"/>
      <c r="EE358" s="120"/>
      <c r="EF358" s="120"/>
      <c r="EG358" s="120"/>
      <c r="EH358" s="120"/>
      <c r="EI358" s="120"/>
      <c r="EJ358" s="120"/>
      <c r="EK358" s="120"/>
      <c r="EL358" s="120"/>
      <c r="EM358" s="120"/>
      <c r="EN358" s="120"/>
      <c r="EO358" s="120"/>
      <c r="EP358" s="120"/>
      <c r="EQ358" s="120"/>
      <c r="ER358" s="120"/>
      <c r="ES358" s="120"/>
      <c r="ET358" s="120"/>
      <c r="EU358" s="120"/>
      <c r="EV358" s="120"/>
      <c r="EW358" s="120"/>
      <c r="EX358" s="120"/>
      <c r="EY358" s="120"/>
      <c r="EZ358" s="120"/>
      <c r="FA358" s="120"/>
      <c r="FB358" s="120"/>
      <c r="FC358" s="120"/>
      <c r="FD358" s="120"/>
      <c r="FE358" s="120"/>
      <c r="FF358" s="120"/>
      <c r="FG358" s="120"/>
      <c r="FH358" s="120"/>
      <c r="FI358" s="120"/>
      <c r="FJ358" s="120"/>
      <c r="FK358" s="120"/>
      <c r="FL358" s="120"/>
      <c r="FM358" s="120"/>
      <c r="FN358" s="120"/>
      <c r="FO358" s="120"/>
      <c r="FP358" s="120"/>
      <c r="FQ358" s="120"/>
      <c r="FR358" s="120"/>
      <c r="FS358" s="120"/>
      <c r="FT358" s="120"/>
      <c r="FU358" s="120"/>
      <c r="FV358" s="120"/>
      <c r="FW358" s="120"/>
      <c r="FX358" s="120"/>
      <c r="FY358" s="120"/>
      <c r="FZ358" s="120"/>
      <c r="GA358" s="120"/>
      <c r="GB358" s="120"/>
      <c r="GC358" s="120"/>
      <c r="GD358" s="120"/>
      <c r="GE358" s="120"/>
      <c r="GF358" s="120"/>
      <c r="GG358" s="120"/>
      <c r="GH358" s="120"/>
      <c r="GI358" s="120"/>
      <c r="GJ358" s="120"/>
      <c r="GK358" s="120"/>
      <c r="GL358" s="120"/>
      <c r="GM358" s="120"/>
      <c r="GN358" s="120"/>
      <c r="GO358" s="120"/>
      <c r="GP358" s="120"/>
      <c r="GQ358" s="120"/>
      <c r="GR358" s="120"/>
      <c r="GS358" s="120"/>
      <c r="GT358" s="120"/>
      <c r="GU358" s="120"/>
      <c r="GV358" s="120"/>
      <c r="GW358" s="120"/>
      <c r="GX358" s="120"/>
      <c r="GY358" s="120"/>
      <c r="GZ358" s="120"/>
      <c r="HA358" s="120"/>
      <c r="HB358" s="120"/>
      <c r="HC358" s="120"/>
      <c r="HD358" s="120"/>
      <c r="HE358" s="120"/>
      <c r="HF358" s="120"/>
      <c r="HG358" s="120"/>
      <c r="HH358" s="120"/>
      <c r="HI358" s="120"/>
      <c r="HJ358" s="120"/>
      <c r="HK358" s="120"/>
      <c r="HL358" s="120"/>
      <c r="HM358" s="120"/>
      <c r="HN358" s="120"/>
      <c r="HO358" s="120"/>
      <c r="HP358" s="120"/>
      <c r="HQ358" s="120"/>
      <c r="HR358" s="120"/>
      <c r="HS358" s="120"/>
      <c r="HT358" s="120"/>
      <c r="HU358" s="120"/>
      <c r="HV358" s="120"/>
      <c r="HW358" s="120"/>
      <c r="HX358" s="120"/>
      <c r="HY358" s="120"/>
      <c r="HZ358" s="120"/>
      <c r="IA358" s="120"/>
      <c r="IB358" s="120"/>
      <c r="IC358" s="120"/>
      <c r="ID358" s="120"/>
      <c r="IE358" s="120"/>
      <c r="IF358" s="120"/>
      <c r="IG358" s="120"/>
      <c r="IH358" s="120"/>
      <c r="II358" s="120"/>
      <c r="IJ358" s="120"/>
      <c r="IK358" s="120"/>
      <c r="IL358" s="120"/>
      <c r="IM358" s="120"/>
    </row>
    <row r="359" spans="1:247" ht="172.5" customHeight="1" x14ac:dyDescent="0.25">
      <c r="B359" s="306" t="s">
        <v>145</v>
      </c>
      <c r="C359" s="50" t="s">
        <v>52</v>
      </c>
      <c r="D359" s="298">
        <v>9.5</v>
      </c>
      <c r="E359" s="447">
        <f>452/1703*100</f>
        <v>26.541397533763945</v>
      </c>
      <c r="F359" s="64" t="str">
        <f t="shared" ref="F359:F368" si="10">IF((E359/D359*100)&gt;100,"100",E359/D359*100)</f>
        <v>100</v>
      </c>
      <c r="G359" s="688"/>
      <c r="H359" s="450" t="s">
        <v>1234</v>
      </c>
      <c r="I359" s="718"/>
      <c r="J359" s="718"/>
      <c r="K359" s="718"/>
      <c r="L359" s="718"/>
      <c r="M359" s="718"/>
      <c r="N359" s="718"/>
      <c r="O359" s="718"/>
      <c r="P359" s="718"/>
      <c r="Q359" s="718"/>
      <c r="R359" s="718"/>
      <c r="S359" s="718"/>
      <c r="T359" s="718"/>
      <c r="U359" s="718"/>
      <c r="V359" s="718"/>
      <c r="W359" s="718"/>
      <c r="X359" s="718"/>
      <c r="Y359" s="718"/>
      <c r="Z359" s="718"/>
      <c r="AA359" s="718"/>
      <c r="AB359" s="718"/>
      <c r="AC359" s="718"/>
      <c r="AD359" s="718"/>
      <c r="AE359" s="718"/>
      <c r="AF359" s="718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20"/>
      <c r="AV359" s="120"/>
      <c r="AW359" s="120"/>
      <c r="AX359" s="120"/>
      <c r="AY359" s="120"/>
      <c r="AZ359" s="120"/>
      <c r="BA359" s="120"/>
      <c r="BB359" s="120"/>
      <c r="BC359" s="120"/>
      <c r="BD359" s="120"/>
      <c r="BE359" s="120"/>
      <c r="BF359" s="120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20"/>
      <c r="BS359" s="120"/>
      <c r="BT359" s="120"/>
      <c r="BU359" s="120"/>
      <c r="BV359" s="120"/>
      <c r="BW359" s="120"/>
      <c r="BX359" s="120"/>
      <c r="BY359" s="120"/>
      <c r="BZ359" s="120"/>
      <c r="CA359" s="120"/>
      <c r="CB359" s="120"/>
      <c r="CC359" s="120"/>
      <c r="CD359" s="120"/>
      <c r="CE359" s="120"/>
      <c r="CF359" s="120"/>
      <c r="CG359" s="120"/>
      <c r="CH359" s="120"/>
      <c r="CI359" s="120"/>
      <c r="CJ359" s="120"/>
      <c r="CK359" s="120"/>
      <c r="CL359" s="120"/>
      <c r="CM359" s="120"/>
      <c r="CN359" s="120"/>
      <c r="CO359" s="120"/>
      <c r="CP359" s="120"/>
      <c r="CQ359" s="120"/>
      <c r="CR359" s="120"/>
      <c r="CS359" s="120"/>
      <c r="CT359" s="120"/>
      <c r="CU359" s="120"/>
      <c r="CV359" s="120"/>
      <c r="CW359" s="120"/>
      <c r="CX359" s="120"/>
      <c r="CY359" s="120"/>
      <c r="CZ359" s="120"/>
      <c r="DA359" s="120"/>
      <c r="DB359" s="120"/>
      <c r="DC359" s="120"/>
      <c r="DD359" s="120"/>
      <c r="DE359" s="120"/>
      <c r="DF359" s="120"/>
      <c r="DG359" s="120"/>
      <c r="DH359" s="120"/>
      <c r="DI359" s="120"/>
      <c r="DJ359" s="120"/>
      <c r="DK359" s="120"/>
      <c r="DL359" s="120"/>
      <c r="DM359" s="120"/>
      <c r="DN359" s="120"/>
      <c r="DO359" s="120"/>
      <c r="DP359" s="120"/>
      <c r="DQ359" s="120"/>
      <c r="DR359" s="120"/>
      <c r="DS359" s="120"/>
      <c r="DT359" s="120"/>
      <c r="DU359" s="120"/>
      <c r="DV359" s="120"/>
      <c r="DW359" s="120"/>
      <c r="DX359" s="120"/>
      <c r="DY359" s="120"/>
      <c r="DZ359" s="120"/>
      <c r="EA359" s="120"/>
      <c r="EB359" s="120"/>
      <c r="EC359" s="120"/>
      <c r="ED359" s="120"/>
      <c r="EE359" s="120"/>
      <c r="EF359" s="120"/>
      <c r="EG359" s="120"/>
      <c r="EH359" s="120"/>
      <c r="EI359" s="120"/>
      <c r="EJ359" s="120"/>
      <c r="EK359" s="120"/>
      <c r="EL359" s="120"/>
      <c r="EM359" s="120"/>
      <c r="EN359" s="120"/>
      <c r="EO359" s="120"/>
      <c r="EP359" s="120"/>
      <c r="EQ359" s="120"/>
      <c r="ER359" s="120"/>
      <c r="ES359" s="120"/>
      <c r="ET359" s="120"/>
      <c r="EU359" s="120"/>
      <c r="EV359" s="120"/>
      <c r="EW359" s="120"/>
      <c r="EX359" s="120"/>
      <c r="EY359" s="120"/>
      <c r="EZ359" s="120"/>
      <c r="FA359" s="120"/>
      <c r="FB359" s="120"/>
      <c r="FC359" s="120"/>
      <c r="FD359" s="120"/>
      <c r="FE359" s="120"/>
      <c r="FF359" s="120"/>
      <c r="FG359" s="120"/>
      <c r="FH359" s="120"/>
      <c r="FI359" s="120"/>
      <c r="FJ359" s="120"/>
      <c r="FK359" s="120"/>
      <c r="FL359" s="120"/>
      <c r="FM359" s="120"/>
      <c r="FN359" s="120"/>
      <c r="FO359" s="120"/>
      <c r="FP359" s="120"/>
      <c r="FQ359" s="120"/>
      <c r="FR359" s="120"/>
      <c r="FS359" s="120"/>
      <c r="FT359" s="120"/>
      <c r="FU359" s="120"/>
      <c r="FV359" s="120"/>
      <c r="FW359" s="120"/>
      <c r="FX359" s="120"/>
      <c r="FY359" s="120"/>
      <c r="FZ359" s="120"/>
      <c r="GA359" s="120"/>
      <c r="GB359" s="120"/>
      <c r="GC359" s="120"/>
      <c r="GD359" s="120"/>
      <c r="GE359" s="120"/>
      <c r="GF359" s="120"/>
      <c r="GG359" s="120"/>
      <c r="GH359" s="120"/>
      <c r="GI359" s="120"/>
      <c r="GJ359" s="120"/>
      <c r="GK359" s="120"/>
      <c r="GL359" s="120"/>
      <c r="GM359" s="120"/>
      <c r="GN359" s="120"/>
      <c r="GO359" s="120"/>
      <c r="GP359" s="120"/>
      <c r="GQ359" s="120"/>
      <c r="GR359" s="120"/>
      <c r="GS359" s="120"/>
      <c r="GT359" s="120"/>
      <c r="GU359" s="120"/>
      <c r="GV359" s="120"/>
      <c r="GW359" s="120"/>
      <c r="GX359" s="120"/>
      <c r="GY359" s="120"/>
      <c r="GZ359" s="120"/>
      <c r="HA359" s="120"/>
      <c r="HB359" s="120"/>
      <c r="HC359" s="120"/>
      <c r="HD359" s="120"/>
      <c r="HE359" s="120"/>
      <c r="HF359" s="120"/>
      <c r="HG359" s="120"/>
      <c r="HH359" s="120"/>
      <c r="HI359" s="120"/>
      <c r="HJ359" s="120"/>
      <c r="HK359" s="120"/>
      <c r="HL359" s="120"/>
      <c r="HM359" s="120"/>
      <c r="HN359" s="120"/>
      <c r="HO359" s="120"/>
      <c r="HP359" s="120"/>
      <c r="HQ359" s="120"/>
      <c r="HR359" s="120"/>
      <c r="HS359" s="120"/>
      <c r="HT359" s="120"/>
      <c r="HU359" s="120"/>
      <c r="HV359" s="120"/>
      <c r="HW359" s="120"/>
      <c r="HX359" s="120"/>
      <c r="HY359" s="120"/>
      <c r="HZ359" s="120"/>
      <c r="IA359" s="120"/>
      <c r="IB359" s="120"/>
      <c r="IC359" s="120"/>
      <c r="ID359" s="120"/>
      <c r="IE359" s="120"/>
      <c r="IF359" s="120"/>
      <c r="IG359" s="120"/>
      <c r="IH359" s="120"/>
      <c r="II359" s="120"/>
      <c r="IJ359" s="120"/>
      <c r="IK359" s="120"/>
      <c r="IL359" s="120"/>
      <c r="IM359" s="120"/>
    </row>
    <row r="360" spans="1:247" ht="82.5" customHeight="1" x14ac:dyDescent="0.25">
      <c r="B360" s="306" t="s">
        <v>146</v>
      </c>
      <c r="C360" s="50" t="s">
        <v>66</v>
      </c>
      <c r="D360" s="448">
        <v>60</v>
      </c>
      <c r="E360" s="448">
        <v>66</v>
      </c>
      <c r="F360" s="64" t="str">
        <f t="shared" si="10"/>
        <v>100</v>
      </c>
      <c r="G360" s="688"/>
      <c r="H360" s="450" t="s">
        <v>1235</v>
      </c>
      <c r="I360" s="718"/>
      <c r="J360" s="718"/>
      <c r="K360" s="718"/>
      <c r="L360" s="718"/>
      <c r="M360" s="718"/>
      <c r="N360" s="718"/>
      <c r="O360" s="718"/>
      <c r="P360" s="718"/>
      <c r="Q360" s="718"/>
      <c r="R360" s="718"/>
      <c r="S360" s="718"/>
      <c r="T360" s="718"/>
      <c r="U360" s="718"/>
      <c r="V360" s="718"/>
      <c r="W360" s="718"/>
      <c r="X360" s="718"/>
      <c r="Y360" s="718"/>
      <c r="Z360" s="718"/>
      <c r="AA360" s="718"/>
      <c r="AB360" s="718"/>
      <c r="AC360" s="718"/>
      <c r="AD360" s="718"/>
      <c r="AE360" s="718"/>
      <c r="AF360" s="718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20"/>
      <c r="BB360" s="120"/>
      <c r="BC360" s="120"/>
      <c r="BD360" s="120"/>
      <c r="BE360" s="120"/>
      <c r="BF360" s="120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20"/>
      <c r="BS360" s="120"/>
      <c r="BT360" s="120"/>
      <c r="BU360" s="120"/>
      <c r="BV360" s="120"/>
      <c r="BW360" s="120"/>
      <c r="BX360" s="120"/>
      <c r="BY360" s="120"/>
      <c r="BZ360" s="120"/>
      <c r="CA360" s="120"/>
      <c r="CB360" s="120"/>
      <c r="CC360" s="120"/>
      <c r="CD360" s="120"/>
      <c r="CE360" s="120"/>
      <c r="CF360" s="120"/>
      <c r="CG360" s="120"/>
      <c r="CH360" s="120"/>
      <c r="CI360" s="120"/>
      <c r="CJ360" s="120"/>
      <c r="CK360" s="120"/>
      <c r="CL360" s="120"/>
      <c r="CM360" s="120"/>
      <c r="CN360" s="120"/>
      <c r="CO360" s="120"/>
      <c r="CP360" s="120"/>
      <c r="CQ360" s="120"/>
      <c r="CR360" s="120"/>
      <c r="CS360" s="120"/>
      <c r="CT360" s="120"/>
      <c r="CU360" s="120"/>
      <c r="CV360" s="120"/>
      <c r="CW360" s="120"/>
      <c r="CX360" s="120"/>
      <c r="CY360" s="120"/>
      <c r="CZ360" s="120"/>
      <c r="DA360" s="120"/>
      <c r="DB360" s="120"/>
      <c r="DC360" s="120"/>
      <c r="DD360" s="120"/>
      <c r="DE360" s="120"/>
      <c r="DF360" s="120"/>
      <c r="DG360" s="120"/>
      <c r="DH360" s="120"/>
      <c r="DI360" s="120"/>
      <c r="DJ360" s="120"/>
      <c r="DK360" s="120"/>
      <c r="DL360" s="120"/>
      <c r="DM360" s="120"/>
      <c r="DN360" s="120"/>
      <c r="DO360" s="120"/>
      <c r="DP360" s="120"/>
      <c r="DQ360" s="120"/>
      <c r="DR360" s="120"/>
      <c r="DS360" s="120"/>
      <c r="DT360" s="120"/>
      <c r="DU360" s="120"/>
      <c r="DV360" s="120"/>
      <c r="DW360" s="120"/>
      <c r="DX360" s="120"/>
      <c r="DY360" s="120"/>
      <c r="DZ360" s="120"/>
      <c r="EA360" s="120"/>
      <c r="EB360" s="120"/>
      <c r="EC360" s="120"/>
      <c r="ED360" s="120"/>
      <c r="EE360" s="120"/>
      <c r="EF360" s="120"/>
      <c r="EG360" s="120"/>
      <c r="EH360" s="120"/>
      <c r="EI360" s="120"/>
      <c r="EJ360" s="120"/>
      <c r="EK360" s="120"/>
      <c r="EL360" s="120"/>
      <c r="EM360" s="120"/>
      <c r="EN360" s="120"/>
      <c r="EO360" s="120"/>
      <c r="EP360" s="120"/>
      <c r="EQ360" s="120"/>
      <c r="ER360" s="120"/>
      <c r="ES360" s="120"/>
      <c r="ET360" s="120"/>
      <c r="EU360" s="120"/>
      <c r="EV360" s="120"/>
      <c r="EW360" s="120"/>
      <c r="EX360" s="120"/>
      <c r="EY360" s="120"/>
      <c r="EZ360" s="120"/>
      <c r="FA360" s="120"/>
      <c r="FB360" s="120"/>
      <c r="FC360" s="120"/>
      <c r="FD360" s="120"/>
      <c r="FE360" s="120"/>
      <c r="FF360" s="120"/>
      <c r="FG360" s="120"/>
      <c r="FH360" s="120"/>
      <c r="FI360" s="120"/>
      <c r="FJ360" s="120"/>
      <c r="FK360" s="120"/>
      <c r="FL360" s="120"/>
      <c r="FM360" s="120"/>
      <c r="FN360" s="120"/>
      <c r="FO360" s="120"/>
      <c r="FP360" s="120"/>
      <c r="FQ360" s="120"/>
      <c r="FR360" s="120"/>
      <c r="FS360" s="120"/>
      <c r="FT360" s="120"/>
      <c r="FU360" s="120"/>
      <c r="FV360" s="120"/>
      <c r="FW360" s="120"/>
      <c r="FX360" s="120"/>
      <c r="FY360" s="120"/>
      <c r="FZ360" s="120"/>
      <c r="GA360" s="120"/>
      <c r="GB360" s="120"/>
      <c r="GC360" s="120"/>
      <c r="GD360" s="120"/>
      <c r="GE360" s="120"/>
      <c r="GF360" s="120"/>
      <c r="GG360" s="120"/>
      <c r="GH360" s="120"/>
      <c r="GI360" s="120"/>
      <c r="GJ360" s="120"/>
      <c r="GK360" s="120"/>
      <c r="GL360" s="120"/>
      <c r="GM360" s="120"/>
      <c r="GN360" s="120"/>
      <c r="GO360" s="120"/>
      <c r="GP360" s="120"/>
      <c r="GQ360" s="120"/>
      <c r="GR360" s="120"/>
      <c r="GS360" s="120"/>
      <c r="GT360" s="120"/>
      <c r="GU360" s="120"/>
      <c r="GV360" s="120"/>
      <c r="GW360" s="120"/>
      <c r="GX360" s="120"/>
      <c r="GY360" s="120"/>
      <c r="GZ360" s="120"/>
      <c r="HA360" s="120"/>
      <c r="HB360" s="120"/>
      <c r="HC360" s="120"/>
      <c r="HD360" s="120"/>
      <c r="HE360" s="120"/>
      <c r="HF360" s="120"/>
      <c r="HG360" s="120"/>
      <c r="HH360" s="120"/>
      <c r="HI360" s="120"/>
      <c r="HJ360" s="120"/>
      <c r="HK360" s="120"/>
      <c r="HL360" s="120"/>
      <c r="HM360" s="120"/>
      <c r="HN360" s="120"/>
      <c r="HO360" s="120"/>
      <c r="HP360" s="120"/>
      <c r="HQ360" s="120"/>
      <c r="HR360" s="120"/>
      <c r="HS360" s="120"/>
      <c r="HT360" s="120"/>
      <c r="HU360" s="120"/>
      <c r="HV360" s="120"/>
      <c r="HW360" s="120"/>
      <c r="HX360" s="120"/>
      <c r="HY360" s="120"/>
      <c r="HZ360" s="120"/>
      <c r="IA360" s="120"/>
      <c r="IB360" s="120"/>
      <c r="IC360" s="120"/>
      <c r="ID360" s="120"/>
      <c r="IE360" s="120"/>
      <c r="IF360" s="120"/>
      <c r="IG360" s="120"/>
      <c r="IH360" s="120"/>
      <c r="II360" s="120"/>
      <c r="IJ360" s="120"/>
      <c r="IK360" s="120"/>
      <c r="IL360" s="120"/>
      <c r="IM360" s="120"/>
    </row>
    <row r="361" spans="1:247" ht="82.5" customHeight="1" x14ac:dyDescent="0.25">
      <c r="B361" s="306" t="s">
        <v>147</v>
      </c>
      <c r="C361" s="50" t="s">
        <v>66</v>
      </c>
      <c r="D361" s="309">
        <v>20</v>
      </c>
      <c r="E361" s="309">
        <v>11</v>
      </c>
      <c r="F361" s="64">
        <f t="shared" si="10"/>
        <v>55.000000000000007</v>
      </c>
      <c r="G361" s="688"/>
      <c r="H361" s="443" t="s">
        <v>1236</v>
      </c>
      <c r="I361" s="718"/>
      <c r="J361" s="718"/>
      <c r="K361" s="718"/>
      <c r="L361" s="718"/>
      <c r="M361" s="718"/>
      <c r="N361" s="718"/>
      <c r="O361" s="718"/>
      <c r="P361" s="718"/>
      <c r="Q361" s="718"/>
      <c r="R361" s="718"/>
      <c r="S361" s="718"/>
      <c r="T361" s="718"/>
      <c r="U361" s="718"/>
      <c r="V361" s="718"/>
      <c r="W361" s="718"/>
      <c r="X361" s="718"/>
      <c r="Y361" s="718"/>
      <c r="Z361" s="718"/>
      <c r="AA361" s="718"/>
      <c r="AB361" s="718"/>
      <c r="AC361" s="718"/>
      <c r="AD361" s="718"/>
      <c r="AE361" s="718"/>
      <c r="AF361" s="718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20"/>
      <c r="AV361" s="120"/>
      <c r="AW361" s="120"/>
      <c r="AX361" s="120"/>
      <c r="AY361" s="120"/>
      <c r="AZ361" s="120"/>
      <c r="BA361" s="120"/>
      <c r="BB361" s="120"/>
      <c r="BC361" s="120"/>
      <c r="BD361" s="120"/>
      <c r="BE361" s="120"/>
      <c r="BF361" s="120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20"/>
      <c r="BS361" s="120"/>
      <c r="BT361" s="120"/>
      <c r="BU361" s="120"/>
      <c r="BV361" s="120"/>
      <c r="BW361" s="120"/>
      <c r="BX361" s="120"/>
      <c r="BY361" s="120"/>
      <c r="BZ361" s="120"/>
      <c r="CA361" s="120"/>
      <c r="CB361" s="120"/>
      <c r="CC361" s="120"/>
      <c r="CD361" s="120"/>
      <c r="CE361" s="120"/>
      <c r="CF361" s="120"/>
      <c r="CG361" s="120"/>
      <c r="CH361" s="120"/>
      <c r="CI361" s="120"/>
      <c r="CJ361" s="120"/>
      <c r="CK361" s="120"/>
      <c r="CL361" s="120"/>
      <c r="CM361" s="120"/>
      <c r="CN361" s="120"/>
      <c r="CO361" s="120"/>
      <c r="CP361" s="120"/>
      <c r="CQ361" s="120"/>
      <c r="CR361" s="120"/>
      <c r="CS361" s="120"/>
      <c r="CT361" s="120"/>
      <c r="CU361" s="120"/>
      <c r="CV361" s="120"/>
      <c r="CW361" s="120"/>
      <c r="CX361" s="120"/>
      <c r="CY361" s="120"/>
      <c r="CZ361" s="120"/>
      <c r="DA361" s="120"/>
      <c r="DB361" s="120"/>
      <c r="DC361" s="120"/>
      <c r="DD361" s="120"/>
      <c r="DE361" s="120"/>
      <c r="DF361" s="120"/>
      <c r="DG361" s="120"/>
      <c r="DH361" s="120"/>
      <c r="DI361" s="120"/>
      <c r="DJ361" s="120"/>
      <c r="DK361" s="120"/>
      <c r="DL361" s="120"/>
      <c r="DM361" s="120"/>
      <c r="DN361" s="120"/>
      <c r="DO361" s="120"/>
      <c r="DP361" s="120"/>
      <c r="DQ361" s="120"/>
      <c r="DR361" s="120"/>
      <c r="DS361" s="120"/>
      <c r="DT361" s="120"/>
      <c r="DU361" s="120"/>
      <c r="DV361" s="120"/>
      <c r="DW361" s="120"/>
      <c r="DX361" s="120"/>
      <c r="DY361" s="120"/>
      <c r="DZ361" s="120"/>
      <c r="EA361" s="120"/>
      <c r="EB361" s="120"/>
      <c r="EC361" s="120"/>
      <c r="ED361" s="120"/>
      <c r="EE361" s="120"/>
      <c r="EF361" s="120"/>
      <c r="EG361" s="120"/>
      <c r="EH361" s="120"/>
      <c r="EI361" s="120"/>
      <c r="EJ361" s="120"/>
      <c r="EK361" s="120"/>
      <c r="EL361" s="120"/>
      <c r="EM361" s="120"/>
      <c r="EN361" s="120"/>
      <c r="EO361" s="120"/>
      <c r="EP361" s="120"/>
      <c r="EQ361" s="120"/>
      <c r="ER361" s="120"/>
      <c r="ES361" s="120"/>
      <c r="ET361" s="120"/>
      <c r="EU361" s="120"/>
      <c r="EV361" s="120"/>
      <c r="EW361" s="120"/>
      <c r="EX361" s="120"/>
      <c r="EY361" s="120"/>
      <c r="EZ361" s="120"/>
      <c r="FA361" s="120"/>
      <c r="FB361" s="120"/>
      <c r="FC361" s="120"/>
      <c r="FD361" s="120"/>
      <c r="FE361" s="120"/>
      <c r="FF361" s="120"/>
      <c r="FG361" s="120"/>
      <c r="FH361" s="120"/>
      <c r="FI361" s="120"/>
      <c r="FJ361" s="120"/>
      <c r="FK361" s="120"/>
      <c r="FL361" s="120"/>
      <c r="FM361" s="120"/>
      <c r="FN361" s="120"/>
      <c r="FO361" s="120"/>
      <c r="FP361" s="120"/>
      <c r="FQ361" s="120"/>
      <c r="FR361" s="120"/>
      <c r="FS361" s="120"/>
      <c r="FT361" s="120"/>
      <c r="FU361" s="120"/>
      <c r="FV361" s="120"/>
      <c r="FW361" s="120"/>
      <c r="FX361" s="120"/>
      <c r="FY361" s="120"/>
      <c r="FZ361" s="120"/>
      <c r="GA361" s="120"/>
      <c r="GB361" s="120"/>
      <c r="GC361" s="120"/>
      <c r="GD361" s="120"/>
      <c r="GE361" s="120"/>
      <c r="GF361" s="120"/>
      <c r="GG361" s="120"/>
      <c r="GH361" s="120"/>
      <c r="GI361" s="120"/>
      <c r="GJ361" s="120"/>
      <c r="GK361" s="120"/>
      <c r="GL361" s="120"/>
      <c r="GM361" s="120"/>
      <c r="GN361" s="120"/>
      <c r="GO361" s="120"/>
      <c r="GP361" s="120"/>
      <c r="GQ361" s="120"/>
      <c r="GR361" s="120"/>
      <c r="GS361" s="120"/>
      <c r="GT361" s="120"/>
      <c r="GU361" s="120"/>
      <c r="GV361" s="120"/>
      <c r="GW361" s="120"/>
      <c r="GX361" s="120"/>
      <c r="GY361" s="120"/>
      <c r="GZ361" s="120"/>
      <c r="HA361" s="120"/>
      <c r="HB361" s="120"/>
      <c r="HC361" s="120"/>
      <c r="HD361" s="120"/>
      <c r="HE361" s="120"/>
      <c r="HF361" s="120"/>
      <c r="HG361" s="120"/>
      <c r="HH361" s="120"/>
      <c r="HI361" s="120"/>
      <c r="HJ361" s="120"/>
      <c r="HK361" s="120"/>
      <c r="HL361" s="120"/>
      <c r="HM361" s="120"/>
      <c r="HN361" s="120"/>
      <c r="HO361" s="120"/>
      <c r="HP361" s="120"/>
      <c r="HQ361" s="120"/>
      <c r="HR361" s="120"/>
      <c r="HS361" s="120"/>
      <c r="HT361" s="120"/>
      <c r="HU361" s="120"/>
      <c r="HV361" s="120"/>
      <c r="HW361" s="120"/>
      <c r="HX361" s="120"/>
      <c r="HY361" s="120"/>
      <c r="HZ361" s="120"/>
      <c r="IA361" s="120"/>
      <c r="IB361" s="120"/>
      <c r="IC361" s="120"/>
      <c r="ID361" s="120"/>
      <c r="IE361" s="120"/>
      <c r="IF361" s="120"/>
      <c r="IG361" s="120"/>
      <c r="IH361" s="120"/>
      <c r="II361" s="120"/>
      <c r="IJ361" s="120"/>
      <c r="IK361" s="120"/>
      <c r="IL361" s="120"/>
      <c r="IM361" s="120"/>
    </row>
    <row r="362" spans="1:247" ht="69.75" customHeight="1" x14ac:dyDescent="0.25">
      <c r="B362" s="306" t="s">
        <v>148</v>
      </c>
      <c r="C362" s="50" t="s">
        <v>66</v>
      </c>
      <c r="D362" s="309">
        <v>36</v>
      </c>
      <c r="E362" s="309">
        <v>48</v>
      </c>
      <c r="F362" s="64" t="str">
        <f t="shared" si="10"/>
        <v>100</v>
      </c>
      <c r="G362" s="688"/>
      <c r="H362" s="443" t="s">
        <v>1001</v>
      </c>
      <c r="I362" s="718"/>
      <c r="J362" s="718"/>
      <c r="K362" s="718"/>
      <c r="L362" s="718"/>
      <c r="M362" s="718"/>
      <c r="N362" s="718"/>
      <c r="O362" s="718"/>
      <c r="P362" s="718"/>
      <c r="Q362" s="718"/>
      <c r="R362" s="718"/>
      <c r="S362" s="718"/>
      <c r="T362" s="718"/>
      <c r="U362" s="718"/>
      <c r="V362" s="718"/>
      <c r="W362" s="718"/>
      <c r="X362" s="718"/>
      <c r="Y362" s="718"/>
      <c r="Z362" s="718"/>
      <c r="AA362" s="718"/>
      <c r="AB362" s="718"/>
      <c r="AC362" s="718"/>
      <c r="AD362" s="718"/>
      <c r="AE362" s="718"/>
      <c r="AF362" s="718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20"/>
      <c r="AV362" s="120"/>
      <c r="AW362" s="120"/>
      <c r="AX362" s="120"/>
      <c r="AY362" s="120"/>
      <c r="AZ362" s="120"/>
      <c r="BA362" s="120"/>
      <c r="BB362" s="120"/>
      <c r="BC362" s="120"/>
      <c r="BD362" s="120"/>
      <c r="BE362" s="120"/>
      <c r="BF362" s="120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20"/>
      <c r="BS362" s="120"/>
      <c r="BT362" s="120"/>
      <c r="BU362" s="120"/>
      <c r="BV362" s="120"/>
      <c r="BW362" s="120"/>
      <c r="BX362" s="120"/>
      <c r="BY362" s="120"/>
      <c r="BZ362" s="120"/>
      <c r="CA362" s="120"/>
      <c r="CB362" s="120"/>
      <c r="CC362" s="120"/>
      <c r="CD362" s="120"/>
      <c r="CE362" s="120"/>
      <c r="CF362" s="120"/>
      <c r="CG362" s="120"/>
      <c r="CH362" s="120"/>
      <c r="CI362" s="120"/>
      <c r="CJ362" s="120"/>
      <c r="CK362" s="120"/>
      <c r="CL362" s="120"/>
      <c r="CM362" s="120"/>
      <c r="CN362" s="120"/>
      <c r="CO362" s="120"/>
      <c r="CP362" s="120"/>
      <c r="CQ362" s="120"/>
      <c r="CR362" s="120"/>
      <c r="CS362" s="120"/>
      <c r="CT362" s="120"/>
      <c r="CU362" s="120"/>
      <c r="CV362" s="120"/>
      <c r="CW362" s="120"/>
      <c r="CX362" s="120"/>
      <c r="CY362" s="120"/>
      <c r="CZ362" s="120"/>
      <c r="DA362" s="120"/>
      <c r="DB362" s="120"/>
      <c r="DC362" s="120"/>
      <c r="DD362" s="120"/>
      <c r="DE362" s="120"/>
      <c r="DF362" s="120"/>
      <c r="DG362" s="120"/>
      <c r="DH362" s="120"/>
      <c r="DI362" s="120"/>
      <c r="DJ362" s="120"/>
      <c r="DK362" s="120"/>
      <c r="DL362" s="120"/>
      <c r="DM362" s="120"/>
      <c r="DN362" s="120"/>
      <c r="DO362" s="120"/>
      <c r="DP362" s="120"/>
      <c r="DQ362" s="120"/>
      <c r="DR362" s="120"/>
      <c r="DS362" s="120"/>
      <c r="DT362" s="120"/>
      <c r="DU362" s="120"/>
      <c r="DV362" s="120"/>
      <c r="DW362" s="120"/>
      <c r="DX362" s="120"/>
      <c r="DY362" s="120"/>
      <c r="DZ362" s="120"/>
      <c r="EA362" s="120"/>
      <c r="EB362" s="120"/>
      <c r="EC362" s="120"/>
      <c r="ED362" s="120"/>
      <c r="EE362" s="120"/>
      <c r="EF362" s="120"/>
      <c r="EG362" s="120"/>
      <c r="EH362" s="120"/>
      <c r="EI362" s="120"/>
      <c r="EJ362" s="120"/>
      <c r="EK362" s="120"/>
      <c r="EL362" s="120"/>
      <c r="EM362" s="120"/>
      <c r="EN362" s="120"/>
      <c r="EO362" s="120"/>
      <c r="EP362" s="120"/>
      <c r="EQ362" s="120"/>
      <c r="ER362" s="120"/>
      <c r="ES362" s="120"/>
      <c r="ET362" s="120"/>
      <c r="EU362" s="120"/>
      <c r="EV362" s="120"/>
      <c r="EW362" s="120"/>
      <c r="EX362" s="120"/>
      <c r="EY362" s="120"/>
      <c r="EZ362" s="120"/>
      <c r="FA362" s="120"/>
      <c r="FB362" s="120"/>
      <c r="FC362" s="120"/>
      <c r="FD362" s="120"/>
      <c r="FE362" s="120"/>
      <c r="FF362" s="120"/>
      <c r="FG362" s="120"/>
      <c r="FH362" s="120"/>
      <c r="FI362" s="120"/>
      <c r="FJ362" s="120"/>
      <c r="FK362" s="120"/>
      <c r="FL362" s="120"/>
      <c r="FM362" s="120"/>
      <c r="FN362" s="120"/>
      <c r="FO362" s="120"/>
      <c r="FP362" s="120"/>
      <c r="FQ362" s="120"/>
      <c r="FR362" s="120"/>
      <c r="FS362" s="120"/>
      <c r="FT362" s="120"/>
      <c r="FU362" s="120"/>
      <c r="FV362" s="120"/>
      <c r="FW362" s="120"/>
      <c r="FX362" s="120"/>
      <c r="FY362" s="120"/>
      <c r="FZ362" s="120"/>
      <c r="GA362" s="120"/>
      <c r="GB362" s="120"/>
      <c r="GC362" s="120"/>
      <c r="GD362" s="120"/>
      <c r="GE362" s="120"/>
      <c r="GF362" s="120"/>
      <c r="GG362" s="120"/>
      <c r="GH362" s="120"/>
      <c r="GI362" s="120"/>
      <c r="GJ362" s="120"/>
      <c r="GK362" s="120"/>
      <c r="GL362" s="120"/>
      <c r="GM362" s="120"/>
      <c r="GN362" s="120"/>
      <c r="GO362" s="120"/>
      <c r="GP362" s="120"/>
      <c r="GQ362" s="120"/>
      <c r="GR362" s="120"/>
      <c r="GS362" s="120"/>
      <c r="GT362" s="120"/>
      <c r="GU362" s="120"/>
      <c r="GV362" s="120"/>
      <c r="GW362" s="120"/>
      <c r="GX362" s="120"/>
      <c r="GY362" s="120"/>
      <c r="GZ362" s="120"/>
      <c r="HA362" s="120"/>
      <c r="HB362" s="120"/>
      <c r="HC362" s="120"/>
      <c r="HD362" s="120"/>
      <c r="HE362" s="120"/>
      <c r="HF362" s="120"/>
      <c r="HG362" s="120"/>
      <c r="HH362" s="120"/>
      <c r="HI362" s="120"/>
      <c r="HJ362" s="120"/>
      <c r="HK362" s="120"/>
      <c r="HL362" s="120"/>
      <c r="HM362" s="120"/>
      <c r="HN362" s="120"/>
      <c r="HO362" s="120"/>
      <c r="HP362" s="120"/>
      <c r="HQ362" s="120"/>
      <c r="HR362" s="120"/>
      <c r="HS362" s="120"/>
      <c r="HT362" s="120"/>
      <c r="HU362" s="120"/>
      <c r="HV362" s="120"/>
      <c r="HW362" s="120"/>
      <c r="HX362" s="120"/>
      <c r="HY362" s="120"/>
      <c r="HZ362" s="120"/>
      <c r="IA362" s="120"/>
      <c r="IB362" s="120"/>
      <c r="IC362" s="120"/>
      <c r="ID362" s="120"/>
      <c r="IE362" s="120"/>
      <c r="IF362" s="120"/>
      <c r="IG362" s="120"/>
      <c r="IH362" s="120"/>
      <c r="II362" s="120"/>
      <c r="IJ362" s="120"/>
      <c r="IK362" s="120"/>
      <c r="IL362" s="120"/>
      <c r="IM362" s="120"/>
    </row>
    <row r="363" spans="1:247" ht="81" customHeight="1" x14ac:dyDescent="0.25">
      <c r="B363" s="306" t="s">
        <v>149</v>
      </c>
      <c r="C363" s="50" t="s">
        <v>66</v>
      </c>
      <c r="D363" s="298">
        <v>280</v>
      </c>
      <c r="E363" s="448">
        <v>245</v>
      </c>
      <c r="F363" s="64">
        <f t="shared" si="10"/>
        <v>87.5</v>
      </c>
      <c r="G363" s="688"/>
      <c r="H363" s="450" t="s">
        <v>1237</v>
      </c>
      <c r="I363" s="718"/>
      <c r="J363" s="718"/>
      <c r="K363" s="718"/>
      <c r="L363" s="718"/>
      <c r="M363" s="718"/>
      <c r="N363" s="718"/>
      <c r="O363" s="718"/>
      <c r="P363" s="718"/>
      <c r="Q363" s="718"/>
      <c r="R363" s="718"/>
      <c r="S363" s="718"/>
      <c r="T363" s="718"/>
      <c r="U363" s="718"/>
      <c r="V363" s="718"/>
      <c r="W363" s="718"/>
      <c r="X363" s="718"/>
      <c r="Y363" s="718"/>
      <c r="Z363" s="718"/>
      <c r="AA363" s="718"/>
      <c r="AB363" s="718"/>
      <c r="AC363" s="718"/>
      <c r="AD363" s="718"/>
      <c r="AE363" s="718"/>
      <c r="AF363" s="718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20"/>
      <c r="AV363" s="120"/>
      <c r="AW363" s="120"/>
      <c r="AX363" s="120"/>
      <c r="AY363" s="120"/>
      <c r="AZ363" s="120"/>
      <c r="BA363" s="120"/>
      <c r="BB363" s="120"/>
      <c r="BC363" s="120"/>
      <c r="BD363" s="120"/>
      <c r="BE363" s="120"/>
      <c r="BF363" s="120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20"/>
      <c r="BS363" s="120"/>
      <c r="BT363" s="120"/>
      <c r="BU363" s="120"/>
      <c r="BV363" s="120"/>
      <c r="BW363" s="120"/>
      <c r="BX363" s="120"/>
      <c r="BY363" s="120"/>
      <c r="BZ363" s="120"/>
      <c r="CA363" s="120"/>
      <c r="CB363" s="120"/>
      <c r="CC363" s="120"/>
      <c r="CD363" s="120"/>
      <c r="CE363" s="120"/>
      <c r="CF363" s="120"/>
      <c r="CG363" s="120"/>
      <c r="CH363" s="120"/>
      <c r="CI363" s="120"/>
      <c r="CJ363" s="120"/>
      <c r="CK363" s="120"/>
      <c r="CL363" s="120"/>
      <c r="CM363" s="120"/>
      <c r="CN363" s="120"/>
      <c r="CO363" s="120"/>
      <c r="CP363" s="120"/>
      <c r="CQ363" s="120"/>
      <c r="CR363" s="120"/>
      <c r="CS363" s="120"/>
      <c r="CT363" s="120"/>
      <c r="CU363" s="120"/>
      <c r="CV363" s="120"/>
      <c r="CW363" s="120"/>
      <c r="CX363" s="120"/>
      <c r="CY363" s="120"/>
      <c r="CZ363" s="120"/>
      <c r="DA363" s="120"/>
      <c r="DB363" s="120"/>
      <c r="DC363" s="120"/>
      <c r="DD363" s="120"/>
      <c r="DE363" s="120"/>
      <c r="DF363" s="120"/>
      <c r="DG363" s="120"/>
      <c r="DH363" s="120"/>
      <c r="DI363" s="120"/>
      <c r="DJ363" s="120"/>
      <c r="DK363" s="120"/>
      <c r="DL363" s="120"/>
      <c r="DM363" s="120"/>
      <c r="DN363" s="120"/>
      <c r="DO363" s="120"/>
      <c r="DP363" s="120"/>
      <c r="DQ363" s="120"/>
      <c r="DR363" s="120"/>
      <c r="DS363" s="120"/>
      <c r="DT363" s="120"/>
      <c r="DU363" s="120"/>
      <c r="DV363" s="120"/>
      <c r="DW363" s="120"/>
      <c r="DX363" s="120"/>
      <c r="DY363" s="120"/>
      <c r="DZ363" s="120"/>
      <c r="EA363" s="120"/>
      <c r="EB363" s="120"/>
      <c r="EC363" s="120"/>
      <c r="ED363" s="120"/>
      <c r="EE363" s="120"/>
      <c r="EF363" s="120"/>
      <c r="EG363" s="120"/>
      <c r="EH363" s="120"/>
      <c r="EI363" s="120"/>
      <c r="EJ363" s="120"/>
      <c r="EK363" s="120"/>
      <c r="EL363" s="120"/>
      <c r="EM363" s="120"/>
      <c r="EN363" s="120"/>
      <c r="EO363" s="120"/>
      <c r="EP363" s="120"/>
      <c r="EQ363" s="120"/>
      <c r="ER363" s="120"/>
      <c r="ES363" s="120"/>
      <c r="ET363" s="120"/>
      <c r="EU363" s="120"/>
      <c r="EV363" s="120"/>
      <c r="EW363" s="120"/>
      <c r="EX363" s="120"/>
      <c r="EY363" s="120"/>
      <c r="EZ363" s="120"/>
      <c r="FA363" s="120"/>
      <c r="FB363" s="120"/>
      <c r="FC363" s="120"/>
      <c r="FD363" s="120"/>
      <c r="FE363" s="120"/>
      <c r="FF363" s="120"/>
      <c r="FG363" s="120"/>
      <c r="FH363" s="120"/>
      <c r="FI363" s="120"/>
      <c r="FJ363" s="120"/>
      <c r="FK363" s="120"/>
      <c r="FL363" s="120"/>
      <c r="FM363" s="120"/>
      <c r="FN363" s="120"/>
      <c r="FO363" s="120"/>
      <c r="FP363" s="120"/>
      <c r="FQ363" s="120"/>
      <c r="FR363" s="120"/>
      <c r="FS363" s="120"/>
      <c r="FT363" s="120"/>
      <c r="FU363" s="120"/>
      <c r="FV363" s="120"/>
      <c r="FW363" s="120"/>
      <c r="FX363" s="120"/>
      <c r="FY363" s="120"/>
      <c r="FZ363" s="120"/>
      <c r="GA363" s="120"/>
      <c r="GB363" s="120"/>
      <c r="GC363" s="120"/>
      <c r="GD363" s="120"/>
      <c r="GE363" s="120"/>
      <c r="GF363" s="120"/>
      <c r="GG363" s="120"/>
      <c r="GH363" s="120"/>
      <c r="GI363" s="120"/>
      <c r="GJ363" s="120"/>
      <c r="GK363" s="120"/>
      <c r="GL363" s="120"/>
      <c r="GM363" s="120"/>
      <c r="GN363" s="120"/>
      <c r="GO363" s="120"/>
      <c r="GP363" s="120"/>
      <c r="GQ363" s="120"/>
      <c r="GR363" s="120"/>
      <c r="GS363" s="120"/>
      <c r="GT363" s="120"/>
      <c r="GU363" s="120"/>
      <c r="GV363" s="120"/>
      <c r="GW363" s="120"/>
      <c r="GX363" s="120"/>
      <c r="GY363" s="120"/>
      <c r="GZ363" s="120"/>
      <c r="HA363" s="120"/>
      <c r="HB363" s="120"/>
      <c r="HC363" s="120"/>
      <c r="HD363" s="120"/>
      <c r="HE363" s="120"/>
      <c r="HF363" s="120"/>
      <c r="HG363" s="120"/>
      <c r="HH363" s="120"/>
      <c r="HI363" s="120"/>
      <c r="HJ363" s="120"/>
      <c r="HK363" s="120"/>
      <c r="HL363" s="120"/>
      <c r="HM363" s="120"/>
      <c r="HN363" s="120"/>
      <c r="HO363" s="120"/>
      <c r="HP363" s="120"/>
      <c r="HQ363" s="120"/>
      <c r="HR363" s="120"/>
      <c r="HS363" s="120"/>
      <c r="HT363" s="120"/>
      <c r="HU363" s="120"/>
      <c r="HV363" s="120"/>
      <c r="HW363" s="120"/>
      <c r="HX363" s="120"/>
      <c r="HY363" s="120"/>
      <c r="HZ363" s="120"/>
      <c r="IA363" s="120"/>
      <c r="IB363" s="120"/>
      <c r="IC363" s="120"/>
      <c r="ID363" s="120"/>
      <c r="IE363" s="120"/>
      <c r="IF363" s="120"/>
      <c r="IG363" s="120"/>
      <c r="IH363" s="120"/>
      <c r="II363" s="120"/>
      <c r="IJ363" s="120"/>
      <c r="IK363" s="120"/>
      <c r="IL363" s="120"/>
      <c r="IM363" s="120"/>
    </row>
    <row r="364" spans="1:247" ht="50.25" customHeight="1" x14ac:dyDescent="0.25">
      <c r="B364" s="306" t="s">
        <v>150</v>
      </c>
      <c r="C364" s="307" t="s">
        <v>52</v>
      </c>
      <c r="D364" s="309">
        <v>5</v>
      </c>
      <c r="E364" s="309">
        <v>0</v>
      </c>
      <c r="F364" s="64">
        <f t="shared" si="10"/>
        <v>0</v>
      </c>
      <c r="G364" s="688"/>
      <c r="H364" s="443" t="s">
        <v>1002</v>
      </c>
      <c r="I364" s="718"/>
      <c r="J364" s="718"/>
      <c r="K364" s="718"/>
      <c r="L364" s="718"/>
      <c r="M364" s="718"/>
      <c r="N364" s="718"/>
      <c r="O364" s="718"/>
      <c r="P364" s="718"/>
      <c r="Q364" s="718"/>
      <c r="R364" s="718"/>
      <c r="S364" s="718"/>
      <c r="T364" s="718"/>
      <c r="U364" s="718"/>
      <c r="V364" s="718"/>
      <c r="W364" s="718"/>
      <c r="X364" s="718"/>
      <c r="Y364" s="718"/>
      <c r="Z364" s="718"/>
      <c r="AA364" s="718"/>
      <c r="AB364" s="718"/>
      <c r="AC364" s="718"/>
      <c r="AD364" s="718"/>
      <c r="AE364" s="718"/>
      <c r="AF364" s="718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20"/>
      <c r="AV364" s="120"/>
      <c r="AW364" s="120"/>
      <c r="AX364" s="120"/>
      <c r="AY364" s="120"/>
      <c r="AZ364" s="120"/>
      <c r="BA364" s="120"/>
      <c r="BB364" s="120"/>
      <c r="BC364" s="120"/>
      <c r="BD364" s="120"/>
      <c r="BE364" s="120"/>
      <c r="BF364" s="120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20"/>
      <c r="BS364" s="120"/>
      <c r="BT364" s="120"/>
      <c r="BU364" s="120"/>
      <c r="BV364" s="120"/>
      <c r="BW364" s="120"/>
      <c r="BX364" s="120"/>
      <c r="BY364" s="120"/>
      <c r="BZ364" s="120"/>
      <c r="CA364" s="120"/>
      <c r="CB364" s="120"/>
      <c r="CC364" s="120"/>
      <c r="CD364" s="120"/>
      <c r="CE364" s="120"/>
      <c r="CF364" s="120"/>
      <c r="CG364" s="120"/>
      <c r="CH364" s="120"/>
      <c r="CI364" s="120"/>
      <c r="CJ364" s="120"/>
      <c r="CK364" s="120"/>
      <c r="CL364" s="120"/>
      <c r="CM364" s="120"/>
      <c r="CN364" s="120"/>
      <c r="CO364" s="120"/>
      <c r="CP364" s="120"/>
      <c r="CQ364" s="120"/>
      <c r="CR364" s="120"/>
      <c r="CS364" s="120"/>
      <c r="CT364" s="120"/>
      <c r="CU364" s="120"/>
      <c r="CV364" s="120"/>
      <c r="CW364" s="120"/>
      <c r="CX364" s="120"/>
      <c r="CY364" s="120"/>
      <c r="CZ364" s="120"/>
      <c r="DA364" s="120"/>
      <c r="DB364" s="120"/>
      <c r="DC364" s="120"/>
      <c r="DD364" s="120"/>
      <c r="DE364" s="120"/>
      <c r="DF364" s="120"/>
      <c r="DG364" s="120"/>
      <c r="DH364" s="120"/>
      <c r="DI364" s="120"/>
      <c r="DJ364" s="120"/>
      <c r="DK364" s="120"/>
      <c r="DL364" s="120"/>
      <c r="DM364" s="120"/>
      <c r="DN364" s="120"/>
      <c r="DO364" s="120"/>
      <c r="DP364" s="120"/>
      <c r="DQ364" s="120"/>
      <c r="DR364" s="120"/>
      <c r="DS364" s="120"/>
      <c r="DT364" s="120"/>
      <c r="DU364" s="120"/>
      <c r="DV364" s="120"/>
      <c r="DW364" s="120"/>
      <c r="DX364" s="120"/>
      <c r="DY364" s="120"/>
      <c r="DZ364" s="120"/>
      <c r="EA364" s="120"/>
      <c r="EB364" s="120"/>
      <c r="EC364" s="120"/>
      <c r="ED364" s="120"/>
      <c r="EE364" s="120"/>
      <c r="EF364" s="120"/>
      <c r="EG364" s="120"/>
      <c r="EH364" s="120"/>
      <c r="EI364" s="120"/>
      <c r="EJ364" s="120"/>
      <c r="EK364" s="120"/>
      <c r="EL364" s="120"/>
      <c r="EM364" s="120"/>
      <c r="EN364" s="120"/>
      <c r="EO364" s="120"/>
      <c r="EP364" s="120"/>
      <c r="EQ364" s="120"/>
      <c r="ER364" s="120"/>
      <c r="ES364" s="120"/>
      <c r="ET364" s="120"/>
      <c r="EU364" s="120"/>
      <c r="EV364" s="120"/>
      <c r="EW364" s="120"/>
      <c r="EX364" s="120"/>
      <c r="EY364" s="120"/>
      <c r="EZ364" s="120"/>
      <c r="FA364" s="120"/>
      <c r="FB364" s="120"/>
      <c r="FC364" s="120"/>
      <c r="FD364" s="120"/>
      <c r="FE364" s="120"/>
      <c r="FF364" s="120"/>
      <c r="FG364" s="120"/>
      <c r="FH364" s="120"/>
      <c r="FI364" s="120"/>
      <c r="FJ364" s="120"/>
      <c r="FK364" s="120"/>
      <c r="FL364" s="120"/>
      <c r="FM364" s="120"/>
      <c r="FN364" s="120"/>
      <c r="FO364" s="120"/>
      <c r="FP364" s="120"/>
      <c r="FQ364" s="120"/>
      <c r="FR364" s="120"/>
      <c r="FS364" s="120"/>
      <c r="FT364" s="120"/>
      <c r="FU364" s="120"/>
      <c r="FV364" s="120"/>
      <c r="FW364" s="120"/>
      <c r="FX364" s="120"/>
      <c r="FY364" s="120"/>
      <c r="FZ364" s="120"/>
      <c r="GA364" s="120"/>
      <c r="GB364" s="120"/>
      <c r="GC364" s="120"/>
      <c r="GD364" s="120"/>
      <c r="GE364" s="120"/>
      <c r="GF364" s="120"/>
      <c r="GG364" s="120"/>
      <c r="GH364" s="120"/>
      <c r="GI364" s="120"/>
      <c r="GJ364" s="120"/>
      <c r="GK364" s="120"/>
      <c r="GL364" s="120"/>
      <c r="GM364" s="120"/>
      <c r="GN364" s="120"/>
      <c r="GO364" s="120"/>
      <c r="GP364" s="120"/>
      <c r="GQ364" s="120"/>
      <c r="GR364" s="120"/>
      <c r="GS364" s="120"/>
      <c r="GT364" s="120"/>
      <c r="GU364" s="120"/>
      <c r="GV364" s="120"/>
      <c r="GW364" s="120"/>
      <c r="GX364" s="120"/>
      <c r="GY364" s="120"/>
      <c r="GZ364" s="120"/>
      <c r="HA364" s="120"/>
      <c r="HB364" s="120"/>
      <c r="HC364" s="120"/>
      <c r="HD364" s="120"/>
      <c r="HE364" s="120"/>
      <c r="HF364" s="120"/>
      <c r="HG364" s="120"/>
      <c r="HH364" s="120"/>
      <c r="HI364" s="120"/>
      <c r="HJ364" s="120"/>
      <c r="HK364" s="120"/>
      <c r="HL364" s="120"/>
      <c r="HM364" s="120"/>
      <c r="HN364" s="120"/>
      <c r="HO364" s="120"/>
      <c r="HP364" s="120"/>
      <c r="HQ364" s="120"/>
      <c r="HR364" s="120"/>
      <c r="HS364" s="120"/>
      <c r="HT364" s="120"/>
      <c r="HU364" s="120"/>
      <c r="HV364" s="120"/>
      <c r="HW364" s="120"/>
      <c r="HX364" s="120"/>
      <c r="HY364" s="120"/>
      <c r="HZ364" s="120"/>
      <c r="IA364" s="120"/>
      <c r="IB364" s="120"/>
      <c r="IC364" s="120"/>
      <c r="ID364" s="120"/>
      <c r="IE364" s="120"/>
      <c r="IF364" s="120"/>
      <c r="IG364" s="120"/>
      <c r="IH364" s="120"/>
      <c r="II364" s="120"/>
      <c r="IJ364" s="120"/>
      <c r="IK364" s="120"/>
      <c r="IL364" s="120"/>
      <c r="IM364" s="120"/>
    </row>
    <row r="365" spans="1:247" ht="81.75" customHeight="1" x14ac:dyDescent="0.25">
      <c r="B365" s="306" t="s">
        <v>151</v>
      </c>
      <c r="C365" s="307" t="s">
        <v>52</v>
      </c>
      <c r="D365" s="448">
        <v>52</v>
      </c>
      <c r="E365" s="447">
        <f>754/2312*100</f>
        <v>32.612456747404842</v>
      </c>
      <c r="F365" s="64">
        <f t="shared" si="10"/>
        <v>62.716262975778548</v>
      </c>
      <c r="G365" s="688"/>
      <c r="H365" s="450" t="s">
        <v>1238</v>
      </c>
      <c r="I365" s="718"/>
      <c r="J365" s="718"/>
      <c r="K365" s="718"/>
      <c r="L365" s="718"/>
      <c r="M365" s="718"/>
      <c r="N365" s="718"/>
      <c r="O365" s="718"/>
      <c r="P365" s="718"/>
      <c r="Q365" s="718"/>
      <c r="R365" s="718"/>
      <c r="S365" s="718"/>
      <c r="T365" s="718"/>
      <c r="U365" s="718"/>
      <c r="V365" s="718"/>
      <c r="W365" s="718"/>
      <c r="X365" s="718"/>
      <c r="Y365" s="718"/>
      <c r="Z365" s="718"/>
      <c r="AA365" s="718"/>
      <c r="AB365" s="718"/>
      <c r="AC365" s="718"/>
      <c r="AD365" s="718"/>
      <c r="AE365" s="718"/>
      <c r="AF365" s="718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20"/>
      <c r="AV365" s="120"/>
      <c r="AW365" s="120"/>
      <c r="AX365" s="120"/>
      <c r="AY365" s="120"/>
      <c r="AZ365" s="120"/>
      <c r="BA365" s="120"/>
      <c r="BB365" s="120"/>
      <c r="BC365" s="120"/>
      <c r="BD365" s="120"/>
      <c r="BE365" s="120"/>
      <c r="BF365" s="120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20"/>
      <c r="BS365" s="120"/>
      <c r="BT365" s="120"/>
      <c r="BU365" s="120"/>
      <c r="BV365" s="120"/>
      <c r="BW365" s="120"/>
      <c r="BX365" s="120"/>
      <c r="BY365" s="120"/>
      <c r="BZ365" s="120"/>
      <c r="CA365" s="120"/>
      <c r="CB365" s="120"/>
      <c r="CC365" s="120"/>
      <c r="CD365" s="120"/>
      <c r="CE365" s="120"/>
      <c r="CF365" s="120"/>
      <c r="CG365" s="120"/>
      <c r="CH365" s="120"/>
      <c r="CI365" s="120"/>
      <c r="CJ365" s="120"/>
      <c r="CK365" s="120"/>
      <c r="CL365" s="120"/>
      <c r="CM365" s="120"/>
      <c r="CN365" s="120"/>
      <c r="CO365" s="120"/>
      <c r="CP365" s="120"/>
      <c r="CQ365" s="120"/>
      <c r="CR365" s="120"/>
      <c r="CS365" s="120"/>
      <c r="CT365" s="120"/>
      <c r="CU365" s="120"/>
      <c r="CV365" s="120"/>
      <c r="CW365" s="120"/>
      <c r="CX365" s="120"/>
      <c r="CY365" s="120"/>
      <c r="CZ365" s="120"/>
      <c r="DA365" s="120"/>
      <c r="DB365" s="120"/>
      <c r="DC365" s="120"/>
      <c r="DD365" s="120"/>
      <c r="DE365" s="120"/>
      <c r="DF365" s="120"/>
      <c r="DG365" s="120"/>
      <c r="DH365" s="120"/>
      <c r="DI365" s="120"/>
      <c r="DJ365" s="120"/>
      <c r="DK365" s="120"/>
      <c r="DL365" s="120"/>
      <c r="DM365" s="120"/>
      <c r="DN365" s="120"/>
      <c r="DO365" s="120"/>
      <c r="DP365" s="120"/>
      <c r="DQ365" s="120"/>
      <c r="DR365" s="120"/>
      <c r="DS365" s="120"/>
      <c r="DT365" s="120"/>
      <c r="DU365" s="120"/>
      <c r="DV365" s="120"/>
      <c r="DW365" s="120"/>
      <c r="DX365" s="120"/>
      <c r="DY365" s="120"/>
      <c r="DZ365" s="120"/>
      <c r="EA365" s="120"/>
      <c r="EB365" s="120"/>
      <c r="EC365" s="120"/>
      <c r="ED365" s="120"/>
      <c r="EE365" s="120"/>
      <c r="EF365" s="120"/>
      <c r="EG365" s="120"/>
      <c r="EH365" s="120"/>
      <c r="EI365" s="120"/>
      <c r="EJ365" s="120"/>
      <c r="EK365" s="120"/>
      <c r="EL365" s="120"/>
      <c r="EM365" s="120"/>
      <c r="EN365" s="120"/>
      <c r="EO365" s="120"/>
      <c r="EP365" s="120"/>
      <c r="EQ365" s="120"/>
      <c r="ER365" s="120"/>
      <c r="ES365" s="120"/>
      <c r="ET365" s="120"/>
      <c r="EU365" s="120"/>
      <c r="EV365" s="120"/>
      <c r="EW365" s="120"/>
      <c r="EX365" s="120"/>
      <c r="EY365" s="120"/>
      <c r="EZ365" s="120"/>
      <c r="FA365" s="120"/>
      <c r="FB365" s="120"/>
      <c r="FC365" s="120"/>
      <c r="FD365" s="120"/>
      <c r="FE365" s="120"/>
      <c r="FF365" s="120"/>
      <c r="FG365" s="120"/>
      <c r="FH365" s="120"/>
      <c r="FI365" s="120"/>
      <c r="FJ365" s="120"/>
      <c r="FK365" s="120"/>
      <c r="FL365" s="120"/>
      <c r="FM365" s="120"/>
      <c r="FN365" s="120"/>
      <c r="FO365" s="120"/>
      <c r="FP365" s="120"/>
      <c r="FQ365" s="120"/>
      <c r="FR365" s="120"/>
      <c r="FS365" s="120"/>
      <c r="FT365" s="120"/>
      <c r="FU365" s="120"/>
      <c r="FV365" s="120"/>
      <c r="FW365" s="120"/>
      <c r="FX365" s="120"/>
      <c r="FY365" s="120"/>
      <c r="FZ365" s="120"/>
      <c r="GA365" s="120"/>
      <c r="GB365" s="120"/>
      <c r="GC365" s="120"/>
      <c r="GD365" s="120"/>
      <c r="GE365" s="120"/>
      <c r="GF365" s="120"/>
      <c r="GG365" s="120"/>
      <c r="GH365" s="120"/>
      <c r="GI365" s="120"/>
      <c r="GJ365" s="120"/>
      <c r="GK365" s="120"/>
      <c r="GL365" s="120"/>
      <c r="GM365" s="120"/>
      <c r="GN365" s="120"/>
      <c r="GO365" s="120"/>
      <c r="GP365" s="120"/>
      <c r="GQ365" s="120"/>
      <c r="GR365" s="120"/>
      <c r="GS365" s="120"/>
      <c r="GT365" s="120"/>
      <c r="GU365" s="120"/>
      <c r="GV365" s="120"/>
      <c r="GW365" s="120"/>
      <c r="GX365" s="120"/>
      <c r="GY365" s="120"/>
      <c r="GZ365" s="120"/>
      <c r="HA365" s="120"/>
      <c r="HB365" s="120"/>
      <c r="HC365" s="120"/>
      <c r="HD365" s="120"/>
      <c r="HE365" s="120"/>
      <c r="HF365" s="120"/>
      <c r="HG365" s="120"/>
      <c r="HH365" s="120"/>
      <c r="HI365" s="120"/>
      <c r="HJ365" s="120"/>
      <c r="HK365" s="120"/>
      <c r="HL365" s="120"/>
      <c r="HM365" s="120"/>
      <c r="HN365" s="120"/>
      <c r="HO365" s="120"/>
      <c r="HP365" s="120"/>
      <c r="HQ365" s="120"/>
      <c r="HR365" s="120"/>
      <c r="HS365" s="120"/>
      <c r="HT365" s="120"/>
      <c r="HU365" s="120"/>
      <c r="HV365" s="120"/>
      <c r="HW365" s="120"/>
      <c r="HX365" s="120"/>
      <c r="HY365" s="120"/>
      <c r="HZ365" s="120"/>
      <c r="IA365" s="120"/>
      <c r="IB365" s="120"/>
      <c r="IC365" s="120"/>
      <c r="ID365" s="120"/>
      <c r="IE365" s="120"/>
      <c r="IF365" s="120"/>
      <c r="IG365" s="120"/>
      <c r="IH365" s="120"/>
      <c r="II365" s="120"/>
      <c r="IJ365" s="120"/>
      <c r="IK365" s="120"/>
      <c r="IL365" s="120"/>
      <c r="IM365" s="120"/>
    </row>
    <row r="366" spans="1:247" ht="97.5" customHeight="1" x14ac:dyDescent="0.25">
      <c r="B366" s="306" t="s">
        <v>152</v>
      </c>
      <c r="C366" s="50" t="s">
        <v>66</v>
      </c>
      <c r="D366" s="448">
        <v>22</v>
      </c>
      <c r="E366" s="448">
        <v>66</v>
      </c>
      <c r="F366" s="64" t="str">
        <f t="shared" si="10"/>
        <v>100</v>
      </c>
      <c r="G366" s="688"/>
      <c r="H366" s="450" t="s">
        <v>1239</v>
      </c>
      <c r="I366" s="718"/>
      <c r="J366" s="718"/>
      <c r="K366" s="718"/>
      <c r="L366" s="718"/>
      <c r="M366" s="718"/>
      <c r="N366" s="718"/>
      <c r="O366" s="718"/>
      <c r="P366" s="718"/>
      <c r="Q366" s="718"/>
      <c r="R366" s="718"/>
      <c r="S366" s="718"/>
      <c r="T366" s="718"/>
      <c r="U366" s="718"/>
      <c r="V366" s="718"/>
      <c r="W366" s="718"/>
      <c r="X366" s="718"/>
      <c r="Y366" s="718"/>
      <c r="Z366" s="718"/>
      <c r="AA366" s="718"/>
      <c r="AB366" s="718"/>
      <c r="AC366" s="718"/>
      <c r="AD366" s="718"/>
      <c r="AE366" s="718"/>
      <c r="AF366" s="718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20"/>
      <c r="AV366" s="120"/>
      <c r="AW366" s="120"/>
      <c r="AX366" s="120"/>
      <c r="AY366" s="120"/>
      <c r="AZ366" s="120"/>
      <c r="BA366" s="120"/>
      <c r="BB366" s="120"/>
      <c r="BC366" s="120"/>
      <c r="BD366" s="120"/>
      <c r="BE366" s="120"/>
      <c r="BF366" s="120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20"/>
      <c r="BS366" s="120"/>
      <c r="BT366" s="120"/>
      <c r="BU366" s="120"/>
      <c r="BV366" s="120"/>
      <c r="BW366" s="120"/>
      <c r="BX366" s="120"/>
      <c r="BY366" s="120"/>
      <c r="BZ366" s="120"/>
      <c r="CA366" s="120"/>
      <c r="CB366" s="120"/>
      <c r="CC366" s="120"/>
      <c r="CD366" s="120"/>
      <c r="CE366" s="120"/>
      <c r="CF366" s="120"/>
      <c r="CG366" s="120"/>
      <c r="CH366" s="120"/>
      <c r="CI366" s="120"/>
      <c r="CJ366" s="120"/>
      <c r="CK366" s="120"/>
      <c r="CL366" s="120"/>
      <c r="CM366" s="120"/>
      <c r="CN366" s="120"/>
      <c r="CO366" s="120"/>
      <c r="CP366" s="120"/>
      <c r="CQ366" s="120"/>
      <c r="CR366" s="120"/>
      <c r="CS366" s="120"/>
      <c r="CT366" s="120"/>
      <c r="CU366" s="120"/>
      <c r="CV366" s="120"/>
      <c r="CW366" s="120"/>
      <c r="CX366" s="120"/>
      <c r="CY366" s="120"/>
      <c r="CZ366" s="120"/>
      <c r="DA366" s="120"/>
      <c r="DB366" s="120"/>
      <c r="DC366" s="120"/>
      <c r="DD366" s="120"/>
      <c r="DE366" s="120"/>
      <c r="DF366" s="120"/>
      <c r="DG366" s="120"/>
      <c r="DH366" s="120"/>
      <c r="DI366" s="120"/>
      <c r="DJ366" s="120"/>
      <c r="DK366" s="120"/>
      <c r="DL366" s="120"/>
      <c r="DM366" s="120"/>
      <c r="DN366" s="120"/>
      <c r="DO366" s="120"/>
      <c r="DP366" s="120"/>
      <c r="DQ366" s="120"/>
      <c r="DR366" s="120"/>
      <c r="DS366" s="120"/>
      <c r="DT366" s="120"/>
      <c r="DU366" s="120"/>
      <c r="DV366" s="120"/>
      <c r="DW366" s="120"/>
      <c r="DX366" s="120"/>
      <c r="DY366" s="120"/>
      <c r="DZ366" s="120"/>
      <c r="EA366" s="120"/>
      <c r="EB366" s="120"/>
      <c r="EC366" s="120"/>
      <c r="ED366" s="120"/>
      <c r="EE366" s="120"/>
      <c r="EF366" s="120"/>
      <c r="EG366" s="120"/>
      <c r="EH366" s="120"/>
      <c r="EI366" s="120"/>
      <c r="EJ366" s="120"/>
      <c r="EK366" s="120"/>
      <c r="EL366" s="120"/>
      <c r="EM366" s="120"/>
      <c r="EN366" s="120"/>
      <c r="EO366" s="120"/>
      <c r="EP366" s="120"/>
      <c r="EQ366" s="120"/>
      <c r="ER366" s="120"/>
      <c r="ES366" s="120"/>
      <c r="ET366" s="120"/>
      <c r="EU366" s="120"/>
      <c r="EV366" s="120"/>
      <c r="EW366" s="120"/>
      <c r="EX366" s="120"/>
      <c r="EY366" s="120"/>
      <c r="EZ366" s="120"/>
      <c r="FA366" s="120"/>
      <c r="FB366" s="120"/>
      <c r="FC366" s="120"/>
      <c r="FD366" s="120"/>
      <c r="FE366" s="120"/>
      <c r="FF366" s="120"/>
      <c r="FG366" s="120"/>
      <c r="FH366" s="120"/>
      <c r="FI366" s="120"/>
      <c r="FJ366" s="120"/>
      <c r="FK366" s="120"/>
      <c r="FL366" s="120"/>
      <c r="FM366" s="120"/>
      <c r="FN366" s="120"/>
      <c r="FO366" s="120"/>
      <c r="FP366" s="120"/>
      <c r="FQ366" s="120"/>
      <c r="FR366" s="120"/>
      <c r="FS366" s="120"/>
      <c r="FT366" s="120"/>
      <c r="FU366" s="120"/>
      <c r="FV366" s="120"/>
      <c r="FW366" s="120"/>
      <c r="FX366" s="120"/>
      <c r="FY366" s="120"/>
      <c r="FZ366" s="120"/>
      <c r="GA366" s="120"/>
      <c r="GB366" s="120"/>
      <c r="GC366" s="120"/>
      <c r="GD366" s="120"/>
      <c r="GE366" s="120"/>
      <c r="GF366" s="120"/>
      <c r="GG366" s="120"/>
      <c r="GH366" s="120"/>
      <c r="GI366" s="120"/>
      <c r="GJ366" s="120"/>
      <c r="GK366" s="120"/>
      <c r="GL366" s="120"/>
      <c r="GM366" s="120"/>
      <c r="GN366" s="120"/>
      <c r="GO366" s="120"/>
      <c r="GP366" s="120"/>
      <c r="GQ366" s="120"/>
      <c r="GR366" s="120"/>
      <c r="GS366" s="120"/>
      <c r="GT366" s="120"/>
      <c r="GU366" s="120"/>
      <c r="GV366" s="120"/>
      <c r="GW366" s="120"/>
      <c r="GX366" s="120"/>
      <c r="GY366" s="120"/>
      <c r="GZ366" s="120"/>
      <c r="HA366" s="120"/>
      <c r="HB366" s="120"/>
      <c r="HC366" s="120"/>
      <c r="HD366" s="120"/>
      <c r="HE366" s="120"/>
      <c r="HF366" s="120"/>
      <c r="HG366" s="120"/>
      <c r="HH366" s="120"/>
      <c r="HI366" s="120"/>
      <c r="HJ366" s="120"/>
      <c r="HK366" s="120"/>
      <c r="HL366" s="120"/>
      <c r="HM366" s="120"/>
      <c r="HN366" s="120"/>
      <c r="HO366" s="120"/>
      <c r="HP366" s="120"/>
      <c r="HQ366" s="120"/>
      <c r="HR366" s="120"/>
      <c r="HS366" s="120"/>
      <c r="HT366" s="120"/>
      <c r="HU366" s="120"/>
      <c r="HV366" s="120"/>
      <c r="HW366" s="120"/>
      <c r="HX366" s="120"/>
      <c r="HY366" s="120"/>
      <c r="HZ366" s="120"/>
      <c r="IA366" s="120"/>
      <c r="IB366" s="120"/>
      <c r="IC366" s="120"/>
      <c r="ID366" s="120"/>
      <c r="IE366" s="120"/>
      <c r="IF366" s="120"/>
      <c r="IG366" s="120"/>
      <c r="IH366" s="120"/>
      <c r="II366" s="120"/>
      <c r="IJ366" s="120"/>
      <c r="IK366" s="120"/>
      <c r="IL366" s="120"/>
      <c r="IM366" s="120"/>
    </row>
    <row r="367" spans="1:247" ht="49.5" customHeight="1" x14ac:dyDescent="0.25">
      <c r="B367" s="306" t="s">
        <v>153</v>
      </c>
      <c r="C367" s="50" t="s">
        <v>66</v>
      </c>
      <c r="D367" s="309">
        <v>145</v>
      </c>
      <c r="E367" s="309">
        <v>141</v>
      </c>
      <c r="F367" s="64">
        <f t="shared" si="10"/>
        <v>97.241379310344826</v>
      </c>
      <c r="G367" s="688"/>
      <c r="H367" s="443" t="s">
        <v>1240</v>
      </c>
      <c r="I367" s="718"/>
      <c r="J367" s="718"/>
      <c r="K367" s="718"/>
      <c r="L367" s="718"/>
      <c r="M367" s="718"/>
      <c r="N367" s="718"/>
      <c r="O367" s="718"/>
      <c r="P367" s="718"/>
      <c r="Q367" s="718"/>
      <c r="R367" s="718"/>
      <c r="S367" s="718"/>
      <c r="T367" s="718"/>
      <c r="U367" s="718"/>
      <c r="V367" s="718"/>
      <c r="W367" s="718"/>
      <c r="X367" s="718"/>
      <c r="Y367" s="718"/>
      <c r="Z367" s="718"/>
      <c r="AA367" s="718"/>
      <c r="AB367" s="718"/>
      <c r="AC367" s="718"/>
      <c r="AD367" s="718"/>
      <c r="AE367" s="718"/>
      <c r="AF367" s="718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20"/>
      <c r="AV367" s="120"/>
      <c r="AW367" s="120"/>
      <c r="AX367" s="120"/>
      <c r="AY367" s="120"/>
      <c r="AZ367" s="120"/>
      <c r="BA367" s="120"/>
      <c r="BB367" s="120"/>
      <c r="BC367" s="120"/>
      <c r="BD367" s="120"/>
      <c r="BE367" s="120"/>
      <c r="BF367" s="120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20"/>
      <c r="BS367" s="120"/>
      <c r="BT367" s="120"/>
      <c r="BU367" s="120"/>
      <c r="BV367" s="120"/>
      <c r="BW367" s="120"/>
      <c r="BX367" s="120"/>
      <c r="BY367" s="120"/>
      <c r="BZ367" s="120"/>
      <c r="CA367" s="120"/>
      <c r="CB367" s="120"/>
      <c r="CC367" s="120"/>
      <c r="CD367" s="120"/>
      <c r="CE367" s="120"/>
      <c r="CF367" s="120"/>
      <c r="CG367" s="120"/>
      <c r="CH367" s="120"/>
      <c r="CI367" s="120"/>
      <c r="CJ367" s="120"/>
      <c r="CK367" s="120"/>
      <c r="CL367" s="120"/>
      <c r="CM367" s="120"/>
      <c r="CN367" s="120"/>
      <c r="CO367" s="120"/>
      <c r="CP367" s="120"/>
      <c r="CQ367" s="120"/>
      <c r="CR367" s="120"/>
      <c r="CS367" s="120"/>
      <c r="CT367" s="120"/>
      <c r="CU367" s="120"/>
      <c r="CV367" s="120"/>
      <c r="CW367" s="120"/>
      <c r="CX367" s="120"/>
      <c r="CY367" s="120"/>
      <c r="CZ367" s="120"/>
      <c r="DA367" s="120"/>
      <c r="DB367" s="120"/>
      <c r="DC367" s="120"/>
      <c r="DD367" s="120"/>
      <c r="DE367" s="120"/>
      <c r="DF367" s="120"/>
      <c r="DG367" s="120"/>
      <c r="DH367" s="120"/>
      <c r="DI367" s="120"/>
      <c r="DJ367" s="120"/>
      <c r="DK367" s="120"/>
      <c r="DL367" s="120"/>
      <c r="DM367" s="120"/>
      <c r="DN367" s="120"/>
      <c r="DO367" s="120"/>
      <c r="DP367" s="120"/>
      <c r="DQ367" s="120"/>
      <c r="DR367" s="120"/>
      <c r="DS367" s="120"/>
      <c r="DT367" s="120"/>
      <c r="DU367" s="120"/>
      <c r="DV367" s="120"/>
      <c r="DW367" s="120"/>
      <c r="DX367" s="120"/>
      <c r="DY367" s="120"/>
      <c r="DZ367" s="120"/>
      <c r="EA367" s="120"/>
      <c r="EB367" s="120"/>
      <c r="EC367" s="120"/>
      <c r="ED367" s="120"/>
      <c r="EE367" s="120"/>
      <c r="EF367" s="120"/>
      <c r="EG367" s="120"/>
      <c r="EH367" s="120"/>
      <c r="EI367" s="120"/>
      <c r="EJ367" s="120"/>
      <c r="EK367" s="120"/>
      <c r="EL367" s="120"/>
      <c r="EM367" s="120"/>
      <c r="EN367" s="120"/>
      <c r="EO367" s="120"/>
      <c r="EP367" s="120"/>
      <c r="EQ367" s="120"/>
      <c r="ER367" s="120"/>
      <c r="ES367" s="120"/>
      <c r="ET367" s="120"/>
      <c r="EU367" s="120"/>
      <c r="EV367" s="120"/>
      <c r="EW367" s="120"/>
      <c r="EX367" s="120"/>
      <c r="EY367" s="120"/>
      <c r="EZ367" s="120"/>
      <c r="FA367" s="120"/>
      <c r="FB367" s="120"/>
      <c r="FC367" s="120"/>
      <c r="FD367" s="120"/>
      <c r="FE367" s="120"/>
      <c r="FF367" s="120"/>
      <c r="FG367" s="120"/>
      <c r="FH367" s="120"/>
      <c r="FI367" s="120"/>
      <c r="FJ367" s="120"/>
      <c r="FK367" s="120"/>
      <c r="FL367" s="120"/>
      <c r="FM367" s="120"/>
      <c r="FN367" s="120"/>
      <c r="FO367" s="120"/>
      <c r="FP367" s="120"/>
      <c r="FQ367" s="120"/>
      <c r="FR367" s="120"/>
      <c r="FS367" s="120"/>
      <c r="FT367" s="120"/>
      <c r="FU367" s="120"/>
      <c r="FV367" s="120"/>
      <c r="FW367" s="120"/>
      <c r="FX367" s="120"/>
      <c r="FY367" s="120"/>
      <c r="FZ367" s="120"/>
      <c r="GA367" s="120"/>
      <c r="GB367" s="120"/>
      <c r="GC367" s="120"/>
      <c r="GD367" s="120"/>
      <c r="GE367" s="120"/>
      <c r="GF367" s="120"/>
      <c r="GG367" s="120"/>
      <c r="GH367" s="120"/>
      <c r="GI367" s="120"/>
      <c r="GJ367" s="120"/>
      <c r="GK367" s="120"/>
      <c r="GL367" s="120"/>
      <c r="GM367" s="120"/>
      <c r="GN367" s="120"/>
      <c r="GO367" s="120"/>
      <c r="GP367" s="120"/>
      <c r="GQ367" s="120"/>
      <c r="GR367" s="120"/>
      <c r="GS367" s="120"/>
      <c r="GT367" s="120"/>
      <c r="GU367" s="120"/>
      <c r="GV367" s="120"/>
      <c r="GW367" s="120"/>
      <c r="GX367" s="120"/>
      <c r="GY367" s="120"/>
      <c r="GZ367" s="120"/>
      <c r="HA367" s="120"/>
      <c r="HB367" s="120"/>
      <c r="HC367" s="120"/>
      <c r="HD367" s="120"/>
      <c r="HE367" s="120"/>
      <c r="HF367" s="120"/>
      <c r="HG367" s="120"/>
      <c r="HH367" s="120"/>
      <c r="HI367" s="120"/>
      <c r="HJ367" s="120"/>
      <c r="HK367" s="120"/>
      <c r="HL367" s="120"/>
      <c r="HM367" s="120"/>
      <c r="HN367" s="120"/>
      <c r="HO367" s="120"/>
      <c r="HP367" s="120"/>
      <c r="HQ367" s="120"/>
      <c r="HR367" s="120"/>
      <c r="HS367" s="120"/>
      <c r="HT367" s="120"/>
      <c r="HU367" s="120"/>
      <c r="HV367" s="120"/>
      <c r="HW367" s="120"/>
      <c r="HX367" s="120"/>
      <c r="HY367" s="120"/>
      <c r="HZ367" s="120"/>
      <c r="IA367" s="120"/>
      <c r="IB367" s="120"/>
      <c r="IC367" s="120"/>
      <c r="ID367" s="120"/>
      <c r="IE367" s="120"/>
      <c r="IF367" s="120"/>
      <c r="IG367" s="120"/>
      <c r="IH367" s="120"/>
      <c r="II367" s="120"/>
      <c r="IJ367" s="120"/>
      <c r="IK367" s="120"/>
      <c r="IL367" s="120"/>
      <c r="IM367" s="120"/>
    </row>
    <row r="368" spans="1:247" ht="66" customHeight="1" x14ac:dyDescent="0.25">
      <c r="B368" s="306" t="s">
        <v>154</v>
      </c>
      <c r="C368" s="307" t="s">
        <v>52</v>
      </c>
      <c r="D368" s="448">
        <v>12</v>
      </c>
      <c r="E368" s="449">
        <f>142/1346*100</f>
        <v>10.549777117384844</v>
      </c>
      <c r="F368" s="64">
        <f t="shared" si="10"/>
        <v>87.914809311540367</v>
      </c>
      <c r="G368" s="688"/>
      <c r="H368" s="450" t="s">
        <v>1241</v>
      </c>
      <c r="I368" s="718"/>
      <c r="J368" s="718"/>
      <c r="K368" s="718"/>
      <c r="L368" s="718"/>
      <c r="M368" s="718"/>
      <c r="N368" s="718"/>
      <c r="O368" s="718"/>
      <c r="P368" s="718"/>
      <c r="Q368" s="718"/>
      <c r="R368" s="718"/>
      <c r="S368" s="718"/>
      <c r="T368" s="718"/>
      <c r="U368" s="718"/>
      <c r="V368" s="718"/>
      <c r="W368" s="718"/>
      <c r="X368" s="718"/>
      <c r="Y368" s="718"/>
      <c r="Z368" s="718"/>
      <c r="AA368" s="718"/>
      <c r="AB368" s="718"/>
      <c r="AC368" s="718"/>
      <c r="AD368" s="718"/>
      <c r="AE368" s="718"/>
      <c r="AF368" s="718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20"/>
      <c r="AV368" s="120"/>
      <c r="AW368" s="120"/>
      <c r="AX368" s="120"/>
      <c r="AY368" s="120"/>
      <c r="AZ368" s="120"/>
      <c r="BA368" s="120"/>
      <c r="BB368" s="120"/>
      <c r="BC368" s="120"/>
      <c r="BD368" s="120"/>
      <c r="BE368" s="120"/>
      <c r="BF368" s="120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20"/>
      <c r="BS368" s="120"/>
      <c r="BT368" s="120"/>
      <c r="BU368" s="120"/>
      <c r="BV368" s="120"/>
      <c r="BW368" s="120"/>
      <c r="BX368" s="120"/>
      <c r="BY368" s="120"/>
      <c r="BZ368" s="120"/>
      <c r="CA368" s="120"/>
      <c r="CB368" s="120"/>
      <c r="CC368" s="120"/>
      <c r="CD368" s="120"/>
      <c r="CE368" s="120"/>
      <c r="CF368" s="120"/>
      <c r="CG368" s="120"/>
      <c r="CH368" s="120"/>
      <c r="CI368" s="120"/>
      <c r="CJ368" s="120"/>
      <c r="CK368" s="120"/>
      <c r="CL368" s="120"/>
      <c r="CM368" s="120"/>
      <c r="CN368" s="120"/>
      <c r="CO368" s="120"/>
      <c r="CP368" s="120"/>
      <c r="CQ368" s="120"/>
      <c r="CR368" s="120"/>
      <c r="CS368" s="120"/>
      <c r="CT368" s="120"/>
      <c r="CU368" s="120"/>
      <c r="CV368" s="120"/>
      <c r="CW368" s="120"/>
      <c r="CX368" s="120"/>
      <c r="CY368" s="120"/>
      <c r="CZ368" s="120"/>
      <c r="DA368" s="120"/>
      <c r="DB368" s="120"/>
      <c r="DC368" s="120"/>
      <c r="DD368" s="120"/>
      <c r="DE368" s="120"/>
      <c r="DF368" s="120"/>
      <c r="DG368" s="120"/>
      <c r="DH368" s="120"/>
      <c r="DI368" s="120"/>
      <c r="DJ368" s="120"/>
      <c r="DK368" s="120"/>
      <c r="DL368" s="120"/>
      <c r="DM368" s="120"/>
      <c r="DN368" s="120"/>
      <c r="DO368" s="120"/>
      <c r="DP368" s="120"/>
      <c r="DQ368" s="120"/>
      <c r="DR368" s="120"/>
      <c r="DS368" s="120"/>
      <c r="DT368" s="120"/>
      <c r="DU368" s="120"/>
      <c r="DV368" s="120"/>
      <c r="DW368" s="120"/>
      <c r="DX368" s="120"/>
      <c r="DY368" s="120"/>
      <c r="DZ368" s="120"/>
      <c r="EA368" s="120"/>
      <c r="EB368" s="120"/>
      <c r="EC368" s="120"/>
      <c r="ED368" s="120"/>
      <c r="EE368" s="120"/>
      <c r="EF368" s="120"/>
      <c r="EG368" s="120"/>
      <c r="EH368" s="120"/>
      <c r="EI368" s="120"/>
      <c r="EJ368" s="120"/>
      <c r="EK368" s="120"/>
      <c r="EL368" s="120"/>
      <c r="EM368" s="120"/>
      <c r="EN368" s="120"/>
      <c r="EO368" s="120"/>
      <c r="EP368" s="120"/>
      <c r="EQ368" s="120"/>
      <c r="ER368" s="120"/>
      <c r="ES368" s="120"/>
      <c r="ET368" s="120"/>
      <c r="EU368" s="120"/>
      <c r="EV368" s="120"/>
      <c r="EW368" s="120"/>
      <c r="EX368" s="120"/>
      <c r="EY368" s="120"/>
      <c r="EZ368" s="120"/>
      <c r="FA368" s="120"/>
      <c r="FB368" s="120"/>
      <c r="FC368" s="120"/>
      <c r="FD368" s="120"/>
      <c r="FE368" s="120"/>
      <c r="FF368" s="120"/>
      <c r="FG368" s="120"/>
      <c r="FH368" s="120"/>
      <c r="FI368" s="120"/>
      <c r="FJ368" s="120"/>
      <c r="FK368" s="120"/>
      <c r="FL368" s="120"/>
      <c r="FM368" s="120"/>
      <c r="FN368" s="120"/>
      <c r="FO368" s="120"/>
      <c r="FP368" s="120"/>
      <c r="FQ368" s="120"/>
      <c r="FR368" s="120"/>
      <c r="FS368" s="120"/>
      <c r="FT368" s="120"/>
      <c r="FU368" s="120"/>
      <c r="FV368" s="120"/>
      <c r="FW368" s="120"/>
      <c r="FX368" s="120"/>
      <c r="FY368" s="120"/>
      <c r="FZ368" s="120"/>
      <c r="GA368" s="120"/>
      <c r="GB368" s="120"/>
      <c r="GC368" s="120"/>
      <c r="GD368" s="120"/>
      <c r="GE368" s="120"/>
      <c r="GF368" s="120"/>
      <c r="GG368" s="120"/>
      <c r="GH368" s="120"/>
      <c r="GI368" s="120"/>
      <c r="GJ368" s="120"/>
      <c r="GK368" s="120"/>
      <c r="GL368" s="120"/>
      <c r="GM368" s="120"/>
      <c r="GN368" s="120"/>
      <c r="GO368" s="120"/>
      <c r="GP368" s="120"/>
      <c r="GQ368" s="120"/>
      <c r="GR368" s="120"/>
      <c r="GS368" s="120"/>
      <c r="GT368" s="120"/>
      <c r="GU368" s="120"/>
      <c r="GV368" s="120"/>
      <c r="GW368" s="120"/>
      <c r="GX368" s="120"/>
      <c r="GY368" s="120"/>
      <c r="GZ368" s="120"/>
      <c r="HA368" s="120"/>
      <c r="HB368" s="120"/>
      <c r="HC368" s="120"/>
      <c r="HD368" s="120"/>
      <c r="HE368" s="120"/>
      <c r="HF368" s="120"/>
      <c r="HG368" s="120"/>
      <c r="HH368" s="120"/>
      <c r="HI368" s="120"/>
      <c r="HJ368" s="120"/>
      <c r="HK368" s="120"/>
      <c r="HL368" s="120"/>
      <c r="HM368" s="120"/>
      <c r="HN368" s="120"/>
      <c r="HO368" s="120"/>
      <c r="HP368" s="120"/>
      <c r="HQ368" s="120"/>
      <c r="HR368" s="120"/>
      <c r="HS368" s="120"/>
      <c r="HT368" s="120"/>
      <c r="HU368" s="120"/>
      <c r="HV368" s="120"/>
      <c r="HW368" s="120"/>
      <c r="HX368" s="120"/>
      <c r="HY368" s="120"/>
      <c r="HZ368" s="120"/>
      <c r="IA368" s="120"/>
      <c r="IB368" s="120"/>
      <c r="IC368" s="120"/>
      <c r="ID368" s="120"/>
      <c r="IE368" s="120"/>
      <c r="IF368" s="120"/>
      <c r="IG368" s="120"/>
      <c r="IH368" s="120"/>
      <c r="II368" s="120"/>
      <c r="IJ368" s="120"/>
      <c r="IK368" s="120"/>
      <c r="IL368" s="120"/>
      <c r="IM368" s="120"/>
    </row>
    <row r="369" spans="1:247" s="37" customFormat="1" x14ac:dyDescent="0.25">
      <c r="A369" s="137"/>
      <c r="B369" s="809" t="s">
        <v>396</v>
      </c>
      <c r="C369" s="810"/>
      <c r="D369" s="810"/>
      <c r="E369" s="810"/>
      <c r="F369" s="811"/>
      <c r="G369" s="703"/>
      <c r="H369" s="719"/>
      <c r="I369" s="720"/>
      <c r="J369" s="720"/>
      <c r="K369" s="720"/>
      <c r="L369" s="720"/>
      <c r="M369" s="720"/>
      <c r="N369" s="720"/>
      <c r="O369" s="720"/>
      <c r="P369" s="720"/>
      <c r="Q369" s="720"/>
      <c r="R369" s="720"/>
      <c r="S369" s="720"/>
      <c r="T369" s="720"/>
      <c r="U369" s="720"/>
      <c r="V369" s="720"/>
      <c r="W369" s="720"/>
      <c r="X369" s="720"/>
      <c r="Y369" s="720"/>
      <c r="Z369" s="720"/>
      <c r="AA369" s="720"/>
      <c r="AB369" s="720"/>
      <c r="AC369" s="720"/>
      <c r="AD369" s="720"/>
      <c r="AE369" s="720"/>
      <c r="AF369" s="720"/>
      <c r="AG369" s="138"/>
      <c r="AH369" s="138"/>
      <c r="AI369" s="138"/>
      <c r="AJ369" s="138"/>
      <c r="AK369" s="138"/>
      <c r="AL369" s="138"/>
      <c r="AM369" s="138"/>
      <c r="AN369" s="138"/>
      <c r="AO369" s="138"/>
      <c r="AP369" s="138"/>
      <c r="AQ369" s="138"/>
      <c r="AR369" s="138"/>
      <c r="AS369" s="138"/>
      <c r="AT369" s="138"/>
      <c r="AU369" s="138"/>
      <c r="AV369" s="138"/>
      <c r="AW369" s="138"/>
      <c r="AX369" s="138"/>
      <c r="AY369" s="138"/>
      <c r="AZ369" s="138"/>
      <c r="BA369" s="138"/>
      <c r="BB369" s="138"/>
      <c r="BC369" s="138"/>
      <c r="BD369" s="138"/>
      <c r="BE369" s="138"/>
      <c r="BF369" s="138"/>
      <c r="BG369" s="138"/>
      <c r="BH369" s="138"/>
      <c r="BI369" s="138"/>
      <c r="BJ369" s="138"/>
      <c r="BK369" s="138"/>
      <c r="BL369" s="138"/>
      <c r="BM369" s="138"/>
      <c r="BN369" s="138"/>
      <c r="BO369" s="138"/>
      <c r="BP369" s="138"/>
      <c r="BQ369" s="138"/>
      <c r="BR369" s="138"/>
      <c r="BS369" s="138"/>
      <c r="BT369" s="138"/>
      <c r="BU369" s="138"/>
      <c r="BV369" s="138"/>
      <c r="BW369" s="138"/>
      <c r="BX369" s="138"/>
      <c r="BY369" s="138"/>
      <c r="BZ369" s="138"/>
      <c r="CA369" s="138"/>
      <c r="CB369" s="138"/>
      <c r="CC369" s="138"/>
      <c r="CD369" s="138"/>
      <c r="CE369" s="138"/>
      <c r="CF369" s="138"/>
      <c r="CG369" s="138"/>
      <c r="CH369" s="138"/>
      <c r="CI369" s="138"/>
      <c r="CJ369" s="138"/>
      <c r="CK369" s="138"/>
      <c r="CL369" s="138"/>
      <c r="CM369" s="138"/>
      <c r="CN369" s="138"/>
      <c r="CO369" s="138"/>
      <c r="CP369" s="138"/>
      <c r="CQ369" s="138"/>
      <c r="CR369" s="138"/>
      <c r="CS369" s="138"/>
      <c r="CT369" s="138"/>
      <c r="CU369" s="138"/>
      <c r="CV369" s="138"/>
      <c r="CW369" s="138"/>
      <c r="CX369" s="138"/>
      <c r="CY369" s="138"/>
      <c r="CZ369" s="138"/>
      <c r="DA369" s="138"/>
      <c r="DB369" s="138"/>
      <c r="DC369" s="138"/>
      <c r="DD369" s="138"/>
      <c r="DE369" s="138"/>
      <c r="DF369" s="138"/>
      <c r="DG369" s="138"/>
      <c r="DH369" s="138"/>
      <c r="DI369" s="138"/>
      <c r="DJ369" s="138"/>
      <c r="DK369" s="138"/>
      <c r="DL369" s="138"/>
      <c r="DM369" s="138"/>
      <c r="DN369" s="138"/>
      <c r="DO369" s="138"/>
      <c r="DP369" s="138"/>
      <c r="DQ369" s="138"/>
      <c r="DR369" s="138"/>
      <c r="DS369" s="138"/>
      <c r="DT369" s="138"/>
      <c r="DU369" s="138"/>
      <c r="DV369" s="138"/>
      <c r="DW369" s="138"/>
      <c r="DX369" s="138"/>
      <c r="DY369" s="138"/>
      <c r="DZ369" s="138"/>
      <c r="EA369" s="138"/>
      <c r="EB369" s="138"/>
      <c r="EC369" s="138"/>
      <c r="ED369" s="138"/>
      <c r="EE369" s="138"/>
      <c r="EF369" s="138"/>
      <c r="EG369" s="138"/>
      <c r="EH369" s="138"/>
      <c r="EI369" s="138"/>
      <c r="EJ369" s="138"/>
      <c r="EK369" s="138"/>
      <c r="EL369" s="138"/>
      <c r="EM369" s="138"/>
      <c r="EN369" s="138"/>
      <c r="EO369" s="138"/>
      <c r="EP369" s="138"/>
      <c r="EQ369" s="138"/>
      <c r="ER369" s="138"/>
      <c r="ES369" s="138"/>
      <c r="ET369" s="138"/>
      <c r="EU369" s="138"/>
      <c r="EV369" s="138"/>
      <c r="EW369" s="138"/>
      <c r="EX369" s="138"/>
      <c r="EY369" s="138"/>
      <c r="EZ369" s="138"/>
      <c r="FA369" s="138"/>
      <c r="FB369" s="138"/>
      <c r="FC369" s="138"/>
      <c r="FD369" s="138"/>
      <c r="FE369" s="138"/>
      <c r="FF369" s="138"/>
      <c r="FG369" s="138"/>
      <c r="FH369" s="138"/>
      <c r="FI369" s="138"/>
      <c r="FJ369" s="138"/>
      <c r="FK369" s="138"/>
      <c r="FL369" s="138"/>
      <c r="FM369" s="138"/>
      <c r="FN369" s="138"/>
      <c r="FO369" s="138"/>
      <c r="FP369" s="138"/>
      <c r="FQ369" s="138"/>
      <c r="FR369" s="138"/>
      <c r="FS369" s="138"/>
      <c r="FT369" s="138"/>
      <c r="FU369" s="138"/>
      <c r="FV369" s="138"/>
      <c r="FW369" s="138"/>
      <c r="FX369" s="138"/>
      <c r="FY369" s="138"/>
      <c r="FZ369" s="138"/>
      <c r="GA369" s="138"/>
      <c r="GB369" s="138"/>
      <c r="GC369" s="138"/>
      <c r="GD369" s="138"/>
      <c r="GE369" s="138"/>
      <c r="GF369" s="138"/>
      <c r="GG369" s="138"/>
      <c r="GH369" s="138"/>
      <c r="GI369" s="138"/>
      <c r="GJ369" s="138"/>
      <c r="GK369" s="138"/>
      <c r="GL369" s="138"/>
      <c r="GM369" s="138"/>
      <c r="GN369" s="138"/>
      <c r="GO369" s="138"/>
      <c r="GP369" s="138"/>
      <c r="GQ369" s="138"/>
      <c r="GR369" s="138"/>
      <c r="GS369" s="138"/>
      <c r="GT369" s="138"/>
      <c r="GU369" s="138"/>
      <c r="GV369" s="138"/>
      <c r="GW369" s="138"/>
      <c r="GX369" s="138"/>
      <c r="GY369" s="138"/>
      <c r="GZ369" s="138"/>
      <c r="HA369" s="138"/>
      <c r="HB369" s="138"/>
      <c r="HC369" s="138"/>
      <c r="HD369" s="138"/>
      <c r="HE369" s="138"/>
      <c r="HF369" s="138"/>
      <c r="HG369" s="138"/>
      <c r="HH369" s="138"/>
      <c r="HI369" s="138"/>
      <c r="HJ369" s="138"/>
      <c r="HK369" s="138"/>
      <c r="HL369" s="138"/>
      <c r="HM369" s="138"/>
      <c r="HN369" s="138"/>
      <c r="HO369" s="138"/>
      <c r="HP369" s="138"/>
      <c r="HQ369" s="138"/>
      <c r="HR369" s="138"/>
      <c r="HS369" s="138"/>
      <c r="HT369" s="138"/>
      <c r="HU369" s="138"/>
      <c r="HV369" s="138"/>
      <c r="HW369" s="138"/>
      <c r="HX369" s="138"/>
      <c r="HY369" s="138"/>
      <c r="HZ369" s="138"/>
      <c r="IA369" s="138"/>
      <c r="IB369" s="138"/>
      <c r="IC369" s="138"/>
      <c r="ID369" s="138"/>
      <c r="IE369" s="138"/>
      <c r="IF369" s="138"/>
      <c r="IG369" s="138"/>
      <c r="IH369" s="138"/>
      <c r="II369" s="138"/>
      <c r="IJ369" s="138"/>
      <c r="IK369" s="138"/>
      <c r="IL369" s="138"/>
      <c r="IM369" s="138"/>
    </row>
    <row r="370" spans="1:247" x14ac:dyDescent="0.25">
      <c r="B370" s="806" t="s">
        <v>397</v>
      </c>
      <c r="C370" s="807"/>
      <c r="D370" s="807"/>
      <c r="E370" s="807"/>
      <c r="F370" s="808"/>
      <c r="G370" s="688"/>
      <c r="H370" s="431"/>
      <c r="I370" s="718"/>
      <c r="J370" s="718"/>
      <c r="K370" s="718"/>
      <c r="L370" s="718"/>
      <c r="M370" s="718"/>
      <c r="N370" s="718"/>
      <c r="O370" s="718"/>
      <c r="P370" s="718"/>
      <c r="Q370" s="718"/>
      <c r="R370" s="718"/>
      <c r="S370" s="718"/>
      <c r="T370" s="718"/>
      <c r="U370" s="718"/>
      <c r="V370" s="718"/>
      <c r="W370" s="718"/>
      <c r="X370" s="718"/>
      <c r="Y370" s="718"/>
      <c r="Z370" s="718"/>
      <c r="AA370" s="718"/>
      <c r="AB370" s="718"/>
      <c r="AC370" s="718"/>
      <c r="AD370" s="718"/>
      <c r="AE370" s="718"/>
      <c r="AF370" s="718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20"/>
      <c r="AV370" s="120"/>
      <c r="AW370" s="120"/>
      <c r="AX370" s="120"/>
      <c r="AY370" s="120"/>
      <c r="AZ370" s="120"/>
      <c r="BA370" s="120"/>
      <c r="BB370" s="120"/>
      <c r="BC370" s="120"/>
      <c r="BD370" s="120"/>
      <c r="BE370" s="120"/>
      <c r="BF370" s="120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20"/>
      <c r="BS370" s="120"/>
      <c r="BT370" s="120"/>
      <c r="BU370" s="120"/>
      <c r="BV370" s="120"/>
      <c r="BW370" s="120"/>
      <c r="BX370" s="120"/>
      <c r="BY370" s="120"/>
      <c r="BZ370" s="120"/>
      <c r="CA370" s="120"/>
      <c r="CB370" s="120"/>
      <c r="CC370" s="120"/>
      <c r="CD370" s="120"/>
      <c r="CE370" s="120"/>
      <c r="CF370" s="120"/>
      <c r="CG370" s="120"/>
      <c r="CH370" s="120"/>
      <c r="CI370" s="120"/>
      <c r="CJ370" s="120"/>
      <c r="CK370" s="120"/>
      <c r="CL370" s="120"/>
      <c r="CM370" s="120"/>
      <c r="CN370" s="120"/>
      <c r="CO370" s="120"/>
      <c r="CP370" s="120"/>
      <c r="CQ370" s="120"/>
      <c r="CR370" s="120"/>
      <c r="CS370" s="120"/>
      <c r="CT370" s="120"/>
      <c r="CU370" s="120"/>
      <c r="CV370" s="120"/>
      <c r="CW370" s="120"/>
      <c r="CX370" s="120"/>
      <c r="CY370" s="120"/>
      <c r="CZ370" s="120"/>
      <c r="DA370" s="120"/>
      <c r="DB370" s="120"/>
      <c r="DC370" s="120"/>
      <c r="DD370" s="120"/>
      <c r="DE370" s="120"/>
      <c r="DF370" s="120"/>
      <c r="DG370" s="120"/>
      <c r="DH370" s="120"/>
      <c r="DI370" s="120"/>
      <c r="DJ370" s="120"/>
      <c r="DK370" s="120"/>
      <c r="DL370" s="120"/>
      <c r="DM370" s="120"/>
      <c r="DN370" s="120"/>
      <c r="DO370" s="120"/>
      <c r="DP370" s="120"/>
      <c r="DQ370" s="120"/>
      <c r="DR370" s="120"/>
      <c r="DS370" s="120"/>
      <c r="DT370" s="120"/>
      <c r="DU370" s="120"/>
      <c r="DV370" s="120"/>
      <c r="DW370" s="120"/>
      <c r="DX370" s="120"/>
      <c r="DY370" s="120"/>
      <c r="DZ370" s="120"/>
      <c r="EA370" s="120"/>
      <c r="EB370" s="120"/>
      <c r="EC370" s="120"/>
      <c r="ED370" s="120"/>
      <c r="EE370" s="120"/>
      <c r="EF370" s="120"/>
      <c r="EG370" s="120"/>
      <c r="EH370" s="120"/>
      <c r="EI370" s="120"/>
      <c r="EJ370" s="120"/>
      <c r="EK370" s="120"/>
      <c r="EL370" s="120"/>
      <c r="EM370" s="120"/>
      <c r="EN370" s="120"/>
      <c r="EO370" s="120"/>
      <c r="EP370" s="120"/>
      <c r="EQ370" s="120"/>
      <c r="ER370" s="120"/>
      <c r="ES370" s="120"/>
      <c r="ET370" s="120"/>
      <c r="EU370" s="120"/>
      <c r="EV370" s="120"/>
      <c r="EW370" s="120"/>
      <c r="EX370" s="120"/>
      <c r="EY370" s="120"/>
      <c r="EZ370" s="120"/>
      <c r="FA370" s="120"/>
      <c r="FB370" s="120"/>
      <c r="FC370" s="120"/>
      <c r="FD370" s="120"/>
      <c r="FE370" s="120"/>
      <c r="FF370" s="120"/>
      <c r="FG370" s="120"/>
      <c r="FH370" s="120"/>
      <c r="FI370" s="120"/>
      <c r="FJ370" s="120"/>
      <c r="FK370" s="120"/>
      <c r="FL370" s="120"/>
      <c r="FM370" s="120"/>
      <c r="FN370" s="120"/>
      <c r="FO370" s="120"/>
      <c r="FP370" s="120"/>
      <c r="FQ370" s="120"/>
      <c r="FR370" s="120"/>
      <c r="FS370" s="120"/>
      <c r="FT370" s="120"/>
      <c r="FU370" s="120"/>
      <c r="FV370" s="120"/>
      <c r="FW370" s="120"/>
      <c r="FX370" s="120"/>
      <c r="FY370" s="120"/>
      <c r="FZ370" s="120"/>
      <c r="GA370" s="120"/>
      <c r="GB370" s="120"/>
      <c r="GC370" s="120"/>
      <c r="GD370" s="120"/>
      <c r="GE370" s="120"/>
      <c r="GF370" s="120"/>
      <c r="GG370" s="120"/>
      <c r="GH370" s="120"/>
      <c r="GI370" s="120"/>
      <c r="GJ370" s="120"/>
      <c r="GK370" s="120"/>
      <c r="GL370" s="120"/>
      <c r="GM370" s="120"/>
      <c r="GN370" s="120"/>
      <c r="GO370" s="120"/>
      <c r="GP370" s="120"/>
      <c r="GQ370" s="120"/>
      <c r="GR370" s="120"/>
      <c r="GS370" s="120"/>
      <c r="GT370" s="120"/>
      <c r="GU370" s="120"/>
      <c r="GV370" s="120"/>
      <c r="GW370" s="120"/>
      <c r="GX370" s="120"/>
      <c r="GY370" s="120"/>
      <c r="GZ370" s="120"/>
      <c r="HA370" s="120"/>
      <c r="HB370" s="120"/>
      <c r="HC370" s="120"/>
      <c r="HD370" s="120"/>
      <c r="HE370" s="120"/>
      <c r="HF370" s="120"/>
      <c r="HG370" s="120"/>
      <c r="HH370" s="120"/>
      <c r="HI370" s="120"/>
      <c r="HJ370" s="120"/>
      <c r="HK370" s="120"/>
      <c r="HL370" s="120"/>
      <c r="HM370" s="120"/>
      <c r="HN370" s="120"/>
      <c r="HO370" s="120"/>
      <c r="HP370" s="120"/>
      <c r="HQ370" s="120"/>
      <c r="HR370" s="120"/>
      <c r="HS370" s="120"/>
      <c r="HT370" s="120"/>
      <c r="HU370" s="120"/>
      <c r="HV370" s="120"/>
      <c r="HW370" s="120"/>
      <c r="HX370" s="120"/>
      <c r="HY370" s="120"/>
      <c r="HZ370" s="120"/>
      <c r="IA370" s="120"/>
      <c r="IB370" s="120"/>
      <c r="IC370" s="120"/>
      <c r="ID370" s="120"/>
      <c r="IE370" s="120"/>
      <c r="IF370" s="120"/>
      <c r="IG370" s="120"/>
      <c r="IH370" s="120"/>
      <c r="II370" s="120"/>
      <c r="IJ370" s="120"/>
      <c r="IK370" s="120"/>
      <c r="IL370" s="120"/>
      <c r="IM370" s="120"/>
    </row>
    <row r="371" spans="1:247" ht="64.5" customHeight="1" x14ac:dyDescent="0.25">
      <c r="B371" s="306" t="s">
        <v>155</v>
      </c>
      <c r="C371" s="50" t="s">
        <v>52</v>
      </c>
      <c r="D371" s="374">
        <v>20</v>
      </c>
      <c r="E371" s="451">
        <f>6/29*100</f>
        <v>20.689655172413794</v>
      </c>
      <c r="F371" s="64" t="str">
        <f>IF((E371/D371*100)&gt;100,"100",E371/D371*100)</f>
        <v>100</v>
      </c>
      <c r="G371" s="688"/>
      <c r="H371" s="453" t="s">
        <v>1242</v>
      </c>
      <c r="I371" s="718"/>
      <c r="J371" s="718"/>
      <c r="K371" s="718"/>
      <c r="L371" s="718"/>
      <c r="M371" s="718"/>
      <c r="N371" s="718"/>
      <c r="O371" s="718"/>
      <c r="P371" s="718"/>
      <c r="Q371" s="718"/>
      <c r="R371" s="718"/>
      <c r="S371" s="718"/>
      <c r="T371" s="718"/>
      <c r="U371" s="718"/>
      <c r="V371" s="718"/>
      <c r="W371" s="718"/>
      <c r="X371" s="718"/>
      <c r="Y371" s="718"/>
      <c r="Z371" s="718"/>
      <c r="AA371" s="718"/>
      <c r="AB371" s="718"/>
      <c r="AC371" s="718"/>
      <c r="AD371" s="718"/>
      <c r="AE371" s="718"/>
      <c r="AF371" s="718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20"/>
      <c r="AV371" s="120"/>
      <c r="AW371" s="120"/>
      <c r="AX371" s="120"/>
      <c r="AY371" s="120"/>
      <c r="AZ371" s="120"/>
      <c r="BA371" s="120"/>
      <c r="BB371" s="120"/>
      <c r="BC371" s="120"/>
      <c r="BD371" s="120"/>
      <c r="BE371" s="120"/>
      <c r="BF371" s="120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20"/>
      <c r="BS371" s="120"/>
      <c r="BT371" s="120"/>
      <c r="BU371" s="120"/>
      <c r="BV371" s="120"/>
      <c r="BW371" s="120"/>
      <c r="BX371" s="120"/>
      <c r="BY371" s="120"/>
      <c r="BZ371" s="120"/>
      <c r="CA371" s="120"/>
      <c r="CB371" s="120"/>
      <c r="CC371" s="120"/>
      <c r="CD371" s="120"/>
      <c r="CE371" s="120"/>
      <c r="CF371" s="120"/>
      <c r="CG371" s="120"/>
      <c r="CH371" s="120"/>
      <c r="CI371" s="120"/>
      <c r="CJ371" s="120"/>
      <c r="CK371" s="120"/>
      <c r="CL371" s="120"/>
      <c r="CM371" s="120"/>
      <c r="CN371" s="120"/>
      <c r="CO371" s="120"/>
      <c r="CP371" s="120"/>
      <c r="CQ371" s="120"/>
      <c r="CR371" s="120"/>
      <c r="CS371" s="120"/>
      <c r="CT371" s="120"/>
      <c r="CU371" s="120"/>
      <c r="CV371" s="120"/>
      <c r="CW371" s="120"/>
      <c r="CX371" s="120"/>
      <c r="CY371" s="120"/>
      <c r="CZ371" s="120"/>
      <c r="DA371" s="120"/>
      <c r="DB371" s="120"/>
      <c r="DC371" s="120"/>
      <c r="DD371" s="120"/>
      <c r="DE371" s="120"/>
      <c r="DF371" s="120"/>
      <c r="DG371" s="120"/>
      <c r="DH371" s="120"/>
      <c r="DI371" s="120"/>
      <c r="DJ371" s="120"/>
      <c r="DK371" s="120"/>
      <c r="DL371" s="120"/>
      <c r="DM371" s="120"/>
      <c r="DN371" s="120"/>
      <c r="DO371" s="120"/>
      <c r="DP371" s="120"/>
      <c r="DQ371" s="120"/>
      <c r="DR371" s="120"/>
      <c r="DS371" s="120"/>
      <c r="DT371" s="120"/>
      <c r="DU371" s="120"/>
      <c r="DV371" s="120"/>
      <c r="DW371" s="120"/>
      <c r="DX371" s="120"/>
      <c r="DY371" s="120"/>
      <c r="DZ371" s="120"/>
      <c r="EA371" s="120"/>
      <c r="EB371" s="120"/>
      <c r="EC371" s="120"/>
      <c r="ED371" s="120"/>
      <c r="EE371" s="120"/>
      <c r="EF371" s="120"/>
      <c r="EG371" s="120"/>
      <c r="EH371" s="120"/>
      <c r="EI371" s="120"/>
      <c r="EJ371" s="120"/>
      <c r="EK371" s="120"/>
      <c r="EL371" s="120"/>
      <c r="EM371" s="120"/>
      <c r="EN371" s="120"/>
      <c r="EO371" s="120"/>
      <c r="EP371" s="120"/>
      <c r="EQ371" s="120"/>
      <c r="ER371" s="120"/>
      <c r="ES371" s="120"/>
      <c r="ET371" s="120"/>
      <c r="EU371" s="120"/>
      <c r="EV371" s="120"/>
      <c r="EW371" s="120"/>
      <c r="EX371" s="120"/>
      <c r="EY371" s="120"/>
      <c r="EZ371" s="120"/>
      <c r="FA371" s="120"/>
      <c r="FB371" s="120"/>
      <c r="FC371" s="120"/>
      <c r="FD371" s="120"/>
      <c r="FE371" s="120"/>
      <c r="FF371" s="120"/>
      <c r="FG371" s="120"/>
      <c r="FH371" s="120"/>
      <c r="FI371" s="120"/>
      <c r="FJ371" s="120"/>
      <c r="FK371" s="120"/>
      <c r="FL371" s="120"/>
      <c r="FM371" s="120"/>
      <c r="FN371" s="120"/>
      <c r="FO371" s="120"/>
      <c r="FP371" s="120"/>
      <c r="FQ371" s="120"/>
      <c r="FR371" s="120"/>
      <c r="FS371" s="120"/>
      <c r="FT371" s="120"/>
      <c r="FU371" s="120"/>
      <c r="FV371" s="120"/>
      <c r="FW371" s="120"/>
      <c r="FX371" s="120"/>
      <c r="FY371" s="120"/>
      <c r="FZ371" s="120"/>
      <c r="GA371" s="120"/>
      <c r="GB371" s="120"/>
      <c r="GC371" s="120"/>
      <c r="GD371" s="120"/>
      <c r="GE371" s="120"/>
      <c r="GF371" s="120"/>
      <c r="GG371" s="120"/>
      <c r="GH371" s="120"/>
      <c r="GI371" s="120"/>
      <c r="GJ371" s="120"/>
      <c r="GK371" s="120"/>
      <c r="GL371" s="120"/>
      <c r="GM371" s="120"/>
      <c r="GN371" s="120"/>
      <c r="GO371" s="120"/>
      <c r="GP371" s="120"/>
      <c r="GQ371" s="120"/>
      <c r="GR371" s="120"/>
      <c r="GS371" s="120"/>
      <c r="GT371" s="120"/>
      <c r="GU371" s="120"/>
      <c r="GV371" s="120"/>
      <c r="GW371" s="120"/>
      <c r="GX371" s="120"/>
      <c r="GY371" s="120"/>
      <c r="GZ371" s="120"/>
      <c r="HA371" s="120"/>
      <c r="HB371" s="120"/>
      <c r="HC371" s="120"/>
      <c r="HD371" s="120"/>
      <c r="HE371" s="120"/>
      <c r="HF371" s="120"/>
      <c r="HG371" s="120"/>
      <c r="HH371" s="120"/>
      <c r="HI371" s="120"/>
      <c r="HJ371" s="120"/>
      <c r="HK371" s="120"/>
      <c r="HL371" s="120"/>
      <c r="HM371" s="120"/>
      <c r="HN371" s="120"/>
      <c r="HO371" s="120"/>
      <c r="HP371" s="120"/>
      <c r="HQ371" s="120"/>
      <c r="HR371" s="120"/>
      <c r="HS371" s="120"/>
      <c r="HT371" s="120"/>
      <c r="HU371" s="120"/>
      <c r="HV371" s="120"/>
      <c r="HW371" s="120"/>
      <c r="HX371" s="120"/>
      <c r="HY371" s="120"/>
      <c r="HZ371" s="120"/>
      <c r="IA371" s="120"/>
      <c r="IB371" s="120"/>
      <c r="IC371" s="120"/>
      <c r="ID371" s="120"/>
      <c r="IE371" s="120"/>
      <c r="IF371" s="120"/>
      <c r="IG371" s="120"/>
      <c r="IH371" s="120"/>
      <c r="II371" s="120"/>
      <c r="IJ371" s="120"/>
      <c r="IK371" s="120"/>
      <c r="IL371" s="120"/>
      <c r="IM371" s="120"/>
    </row>
    <row r="372" spans="1:247" ht="66" customHeight="1" x14ac:dyDescent="0.25">
      <c r="B372" s="306" t="s">
        <v>156</v>
      </c>
      <c r="C372" s="50" t="s">
        <v>52</v>
      </c>
      <c r="D372" s="374">
        <v>30</v>
      </c>
      <c r="E372" s="451">
        <f>202/572*100</f>
        <v>35.314685314685313</v>
      </c>
      <c r="F372" s="64" t="str">
        <f>IF((E372/D372*100)&gt;100,"100",E372/D372*100)</f>
        <v>100</v>
      </c>
      <c r="G372" s="688"/>
      <c r="H372" s="453" t="s">
        <v>1243</v>
      </c>
      <c r="I372" s="718"/>
      <c r="J372" s="718"/>
      <c r="K372" s="718"/>
      <c r="L372" s="718"/>
      <c r="M372" s="718"/>
      <c r="N372" s="718"/>
      <c r="O372" s="718"/>
      <c r="P372" s="718"/>
      <c r="Q372" s="718"/>
      <c r="R372" s="718"/>
      <c r="S372" s="718"/>
      <c r="T372" s="718"/>
      <c r="U372" s="718"/>
      <c r="V372" s="718"/>
      <c r="W372" s="718"/>
      <c r="X372" s="718"/>
      <c r="Y372" s="718"/>
      <c r="Z372" s="718"/>
      <c r="AA372" s="718"/>
      <c r="AB372" s="718"/>
      <c r="AC372" s="718"/>
      <c r="AD372" s="718"/>
      <c r="AE372" s="718"/>
      <c r="AF372" s="718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20"/>
      <c r="AV372" s="120"/>
      <c r="AW372" s="120"/>
      <c r="AX372" s="120"/>
      <c r="AY372" s="120"/>
      <c r="AZ372" s="120"/>
      <c r="BA372" s="120"/>
      <c r="BB372" s="120"/>
      <c r="BC372" s="120"/>
      <c r="BD372" s="120"/>
      <c r="BE372" s="120"/>
      <c r="BF372" s="120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20"/>
      <c r="BS372" s="120"/>
      <c r="BT372" s="120"/>
      <c r="BU372" s="120"/>
      <c r="BV372" s="120"/>
      <c r="BW372" s="120"/>
      <c r="BX372" s="120"/>
      <c r="BY372" s="120"/>
      <c r="BZ372" s="120"/>
      <c r="CA372" s="120"/>
      <c r="CB372" s="120"/>
      <c r="CC372" s="120"/>
      <c r="CD372" s="120"/>
      <c r="CE372" s="120"/>
      <c r="CF372" s="120"/>
      <c r="CG372" s="120"/>
      <c r="CH372" s="120"/>
      <c r="CI372" s="120"/>
      <c r="CJ372" s="120"/>
      <c r="CK372" s="120"/>
      <c r="CL372" s="120"/>
      <c r="CM372" s="120"/>
      <c r="CN372" s="120"/>
      <c r="CO372" s="120"/>
      <c r="CP372" s="120"/>
      <c r="CQ372" s="120"/>
      <c r="CR372" s="120"/>
      <c r="CS372" s="120"/>
      <c r="CT372" s="120"/>
      <c r="CU372" s="120"/>
      <c r="CV372" s="120"/>
      <c r="CW372" s="120"/>
      <c r="CX372" s="120"/>
      <c r="CY372" s="120"/>
      <c r="CZ372" s="120"/>
      <c r="DA372" s="120"/>
      <c r="DB372" s="120"/>
      <c r="DC372" s="120"/>
      <c r="DD372" s="120"/>
      <c r="DE372" s="120"/>
      <c r="DF372" s="120"/>
      <c r="DG372" s="120"/>
      <c r="DH372" s="120"/>
      <c r="DI372" s="120"/>
      <c r="DJ372" s="120"/>
      <c r="DK372" s="120"/>
      <c r="DL372" s="120"/>
      <c r="DM372" s="120"/>
      <c r="DN372" s="120"/>
      <c r="DO372" s="120"/>
      <c r="DP372" s="120"/>
      <c r="DQ372" s="120"/>
      <c r="DR372" s="120"/>
      <c r="DS372" s="120"/>
      <c r="DT372" s="120"/>
      <c r="DU372" s="120"/>
      <c r="DV372" s="120"/>
      <c r="DW372" s="120"/>
      <c r="DX372" s="120"/>
      <c r="DY372" s="120"/>
      <c r="DZ372" s="120"/>
      <c r="EA372" s="120"/>
      <c r="EB372" s="120"/>
      <c r="EC372" s="120"/>
      <c r="ED372" s="120"/>
      <c r="EE372" s="120"/>
      <c r="EF372" s="120"/>
      <c r="EG372" s="120"/>
      <c r="EH372" s="120"/>
      <c r="EI372" s="120"/>
      <c r="EJ372" s="120"/>
      <c r="EK372" s="120"/>
      <c r="EL372" s="120"/>
      <c r="EM372" s="120"/>
      <c r="EN372" s="120"/>
      <c r="EO372" s="120"/>
      <c r="EP372" s="120"/>
      <c r="EQ372" s="120"/>
      <c r="ER372" s="120"/>
      <c r="ES372" s="120"/>
      <c r="ET372" s="120"/>
      <c r="EU372" s="120"/>
      <c r="EV372" s="120"/>
      <c r="EW372" s="120"/>
      <c r="EX372" s="120"/>
      <c r="EY372" s="120"/>
      <c r="EZ372" s="120"/>
      <c r="FA372" s="120"/>
      <c r="FB372" s="120"/>
      <c r="FC372" s="120"/>
      <c r="FD372" s="120"/>
      <c r="FE372" s="120"/>
      <c r="FF372" s="120"/>
      <c r="FG372" s="120"/>
      <c r="FH372" s="120"/>
      <c r="FI372" s="120"/>
      <c r="FJ372" s="120"/>
      <c r="FK372" s="120"/>
      <c r="FL372" s="120"/>
      <c r="FM372" s="120"/>
      <c r="FN372" s="120"/>
      <c r="FO372" s="120"/>
      <c r="FP372" s="120"/>
      <c r="FQ372" s="120"/>
      <c r="FR372" s="120"/>
      <c r="FS372" s="120"/>
      <c r="FT372" s="120"/>
      <c r="FU372" s="120"/>
      <c r="FV372" s="120"/>
      <c r="FW372" s="120"/>
      <c r="FX372" s="120"/>
      <c r="FY372" s="120"/>
      <c r="FZ372" s="120"/>
      <c r="GA372" s="120"/>
      <c r="GB372" s="120"/>
      <c r="GC372" s="120"/>
      <c r="GD372" s="120"/>
      <c r="GE372" s="120"/>
      <c r="GF372" s="120"/>
      <c r="GG372" s="120"/>
      <c r="GH372" s="120"/>
      <c r="GI372" s="120"/>
      <c r="GJ372" s="120"/>
      <c r="GK372" s="120"/>
      <c r="GL372" s="120"/>
      <c r="GM372" s="120"/>
      <c r="GN372" s="120"/>
      <c r="GO372" s="120"/>
      <c r="GP372" s="120"/>
      <c r="GQ372" s="120"/>
      <c r="GR372" s="120"/>
      <c r="GS372" s="120"/>
      <c r="GT372" s="120"/>
      <c r="GU372" s="120"/>
      <c r="GV372" s="120"/>
      <c r="GW372" s="120"/>
      <c r="GX372" s="120"/>
      <c r="GY372" s="120"/>
      <c r="GZ372" s="120"/>
      <c r="HA372" s="120"/>
      <c r="HB372" s="120"/>
      <c r="HC372" s="120"/>
      <c r="HD372" s="120"/>
      <c r="HE372" s="120"/>
      <c r="HF372" s="120"/>
      <c r="HG372" s="120"/>
      <c r="HH372" s="120"/>
      <c r="HI372" s="120"/>
      <c r="HJ372" s="120"/>
      <c r="HK372" s="120"/>
      <c r="HL372" s="120"/>
      <c r="HM372" s="120"/>
      <c r="HN372" s="120"/>
      <c r="HO372" s="120"/>
      <c r="HP372" s="120"/>
      <c r="HQ372" s="120"/>
      <c r="HR372" s="120"/>
      <c r="HS372" s="120"/>
      <c r="HT372" s="120"/>
      <c r="HU372" s="120"/>
      <c r="HV372" s="120"/>
      <c r="HW372" s="120"/>
      <c r="HX372" s="120"/>
      <c r="HY372" s="120"/>
      <c r="HZ372" s="120"/>
      <c r="IA372" s="120"/>
      <c r="IB372" s="120"/>
      <c r="IC372" s="120"/>
      <c r="ID372" s="120"/>
      <c r="IE372" s="120"/>
      <c r="IF372" s="120"/>
      <c r="IG372" s="120"/>
      <c r="IH372" s="120"/>
      <c r="II372" s="120"/>
      <c r="IJ372" s="120"/>
      <c r="IK372" s="120"/>
      <c r="IL372" s="120"/>
      <c r="IM372" s="120"/>
    </row>
    <row r="373" spans="1:247" ht="100.5" customHeight="1" x14ac:dyDescent="0.25">
      <c r="B373" s="306" t="s">
        <v>157</v>
      </c>
      <c r="C373" s="50" t="s">
        <v>52</v>
      </c>
      <c r="D373" s="374">
        <v>10</v>
      </c>
      <c r="E373" s="374">
        <v>100</v>
      </c>
      <c r="F373" s="64" t="str">
        <f>IF((E373/D373*100)&gt;100,"100",E373/D373*100)</f>
        <v>100</v>
      </c>
      <c r="G373" s="688"/>
      <c r="H373" s="453" t="s">
        <v>1244</v>
      </c>
      <c r="I373" s="718"/>
      <c r="J373" s="718"/>
      <c r="K373" s="718"/>
      <c r="L373" s="718"/>
      <c r="M373" s="718"/>
      <c r="N373" s="718"/>
      <c r="O373" s="718"/>
      <c r="P373" s="718"/>
      <c r="Q373" s="718"/>
      <c r="R373" s="718"/>
      <c r="S373" s="718"/>
      <c r="T373" s="718"/>
      <c r="U373" s="718"/>
      <c r="V373" s="718"/>
      <c r="W373" s="718"/>
      <c r="X373" s="718"/>
      <c r="Y373" s="718"/>
      <c r="Z373" s="718"/>
      <c r="AA373" s="718"/>
      <c r="AB373" s="718"/>
      <c r="AC373" s="718"/>
      <c r="AD373" s="718"/>
      <c r="AE373" s="718"/>
      <c r="AF373" s="718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20"/>
      <c r="AV373" s="120"/>
      <c r="AW373" s="120"/>
      <c r="AX373" s="120"/>
      <c r="AY373" s="120"/>
      <c r="AZ373" s="120"/>
      <c r="BA373" s="120"/>
      <c r="BB373" s="120"/>
      <c r="BC373" s="120"/>
      <c r="BD373" s="120"/>
      <c r="BE373" s="120"/>
      <c r="BF373" s="120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20"/>
      <c r="BS373" s="120"/>
      <c r="BT373" s="120"/>
      <c r="BU373" s="120"/>
      <c r="BV373" s="120"/>
      <c r="BW373" s="120"/>
      <c r="BX373" s="120"/>
      <c r="BY373" s="120"/>
      <c r="BZ373" s="120"/>
      <c r="CA373" s="120"/>
      <c r="CB373" s="120"/>
      <c r="CC373" s="120"/>
      <c r="CD373" s="120"/>
      <c r="CE373" s="120"/>
      <c r="CF373" s="120"/>
      <c r="CG373" s="120"/>
      <c r="CH373" s="120"/>
      <c r="CI373" s="120"/>
      <c r="CJ373" s="120"/>
      <c r="CK373" s="120"/>
      <c r="CL373" s="120"/>
      <c r="CM373" s="120"/>
      <c r="CN373" s="120"/>
      <c r="CO373" s="120"/>
      <c r="CP373" s="120"/>
      <c r="CQ373" s="120"/>
      <c r="CR373" s="120"/>
      <c r="CS373" s="120"/>
      <c r="CT373" s="120"/>
      <c r="CU373" s="120"/>
      <c r="CV373" s="120"/>
      <c r="CW373" s="120"/>
      <c r="CX373" s="120"/>
      <c r="CY373" s="120"/>
      <c r="CZ373" s="120"/>
      <c r="DA373" s="120"/>
      <c r="DB373" s="120"/>
      <c r="DC373" s="120"/>
      <c r="DD373" s="120"/>
      <c r="DE373" s="120"/>
      <c r="DF373" s="120"/>
      <c r="DG373" s="120"/>
      <c r="DH373" s="120"/>
      <c r="DI373" s="120"/>
      <c r="DJ373" s="120"/>
      <c r="DK373" s="120"/>
      <c r="DL373" s="120"/>
      <c r="DM373" s="120"/>
      <c r="DN373" s="120"/>
      <c r="DO373" s="120"/>
      <c r="DP373" s="120"/>
      <c r="DQ373" s="120"/>
      <c r="DR373" s="120"/>
      <c r="DS373" s="120"/>
      <c r="DT373" s="120"/>
      <c r="DU373" s="120"/>
      <c r="DV373" s="120"/>
      <c r="DW373" s="120"/>
      <c r="DX373" s="120"/>
      <c r="DY373" s="120"/>
      <c r="DZ373" s="120"/>
      <c r="EA373" s="120"/>
      <c r="EB373" s="120"/>
      <c r="EC373" s="120"/>
      <c r="ED373" s="120"/>
      <c r="EE373" s="120"/>
      <c r="EF373" s="120"/>
      <c r="EG373" s="120"/>
      <c r="EH373" s="120"/>
      <c r="EI373" s="120"/>
      <c r="EJ373" s="120"/>
      <c r="EK373" s="120"/>
      <c r="EL373" s="120"/>
      <c r="EM373" s="120"/>
      <c r="EN373" s="120"/>
      <c r="EO373" s="120"/>
      <c r="EP373" s="120"/>
      <c r="EQ373" s="120"/>
      <c r="ER373" s="120"/>
      <c r="ES373" s="120"/>
      <c r="ET373" s="120"/>
      <c r="EU373" s="120"/>
      <c r="EV373" s="120"/>
      <c r="EW373" s="120"/>
      <c r="EX373" s="120"/>
      <c r="EY373" s="120"/>
      <c r="EZ373" s="120"/>
      <c r="FA373" s="120"/>
      <c r="FB373" s="120"/>
      <c r="FC373" s="120"/>
      <c r="FD373" s="120"/>
      <c r="FE373" s="120"/>
      <c r="FF373" s="120"/>
      <c r="FG373" s="120"/>
      <c r="FH373" s="120"/>
      <c r="FI373" s="120"/>
      <c r="FJ373" s="120"/>
      <c r="FK373" s="120"/>
      <c r="FL373" s="120"/>
      <c r="FM373" s="120"/>
      <c r="FN373" s="120"/>
      <c r="FO373" s="120"/>
      <c r="FP373" s="120"/>
      <c r="FQ373" s="120"/>
      <c r="FR373" s="120"/>
      <c r="FS373" s="120"/>
      <c r="FT373" s="120"/>
      <c r="FU373" s="120"/>
      <c r="FV373" s="120"/>
      <c r="FW373" s="120"/>
      <c r="FX373" s="120"/>
      <c r="FY373" s="120"/>
      <c r="FZ373" s="120"/>
      <c r="GA373" s="120"/>
      <c r="GB373" s="120"/>
      <c r="GC373" s="120"/>
      <c r="GD373" s="120"/>
      <c r="GE373" s="120"/>
      <c r="GF373" s="120"/>
      <c r="GG373" s="120"/>
      <c r="GH373" s="120"/>
      <c r="GI373" s="120"/>
      <c r="GJ373" s="120"/>
      <c r="GK373" s="120"/>
      <c r="GL373" s="120"/>
      <c r="GM373" s="120"/>
      <c r="GN373" s="120"/>
      <c r="GO373" s="120"/>
      <c r="GP373" s="120"/>
      <c r="GQ373" s="120"/>
      <c r="GR373" s="120"/>
      <c r="GS373" s="120"/>
      <c r="GT373" s="120"/>
      <c r="GU373" s="120"/>
      <c r="GV373" s="120"/>
      <c r="GW373" s="120"/>
      <c r="GX373" s="120"/>
      <c r="GY373" s="120"/>
      <c r="GZ373" s="120"/>
      <c r="HA373" s="120"/>
      <c r="HB373" s="120"/>
      <c r="HC373" s="120"/>
      <c r="HD373" s="120"/>
      <c r="HE373" s="120"/>
      <c r="HF373" s="120"/>
      <c r="HG373" s="120"/>
      <c r="HH373" s="120"/>
      <c r="HI373" s="120"/>
      <c r="HJ373" s="120"/>
      <c r="HK373" s="120"/>
      <c r="HL373" s="120"/>
      <c r="HM373" s="120"/>
      <c r="HN373" s="120"/>
      <c r="HO373" s="120"/>
      <c r="HP373" s="120"/>
      <c r="HQ373" s="120"/>
      <c r="HR373" s="120"/>
      <c r="HS373" s="120"/>
      <c r="HT373" s="120"/>
      <c r="HU373" s="120"/>
      <c r="HV373" s="120"/>
      <c r="HW373" s="120"/>
      <c r="HX373" s="120"/>
      <c r="HY373" s="120"/>
      <c r="HZ373" s="120"/>
      <c r="IA373" s="120"/>
      <c r="IB373" s="120"/>
      <c r="IC373" s="120"/>
      <c r="ID373" s="120"/>
      <c r="IE373" s="120"/>
      <c r="IF373" s="120"/>
      <c r="IG373" s="120"/>
      <c r="IH373" s="120"/>
      <c r="II373" s="120"/>
      <c r="IJ373" s="120"/>
      <c r="IK373" s="120"/>
      <c r="IL373" s="120"/>
      <c r="IM373" s="120"/>
    </row>
    <row r="374" spans="1:247" x14ac:dyDescent="0.25">
      <c r="B374" s="806" t="s">
        <v>398</v>
      </c>
      <c r="C374" s="807"/>
      <c r="D374" s="807"/>
      <c r="E374" s="807"/>
      <c r="F374" s="808"/>
      <c r="G374" s="688"/>
      <c r="H374" s="431"/>
      <c r="I374" s="718"/>
      <c r="J374" s="718"/>
      <c r="K374" s="718"/>
      <c r="L374" s="718"/>
      <c r="M374" s="718"/>
      <c r="N374" s="718"/>
      <c r="O374" s="718"/>
      <c r="P374" s="718"/>
      <c r="Q374" s="718"/>
      <c r="R374" s="718"/>
      <c r="S374" s="718"/>
      <c r="T374" s="718"/>
      <c r="U374" s="718"/>
      <c r="V374" s="718"/>
      <c r="W374" s="718"/>
      <c r="X374" s="718"/>
      <c r="Y374" s="718"/>
      <c r="Z374" s="718"/>
      <c r="AA374" s="718"/>
      <c r="AB374" s="718"/>
      <c r="AC374" s="718"/>
      <c r="AD374" s="718"/>
      <c r="AE374" s="718"/>
      <c r="AF374" s="718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20"/>
      <c r="AV374" s="120"/>
      <c r="AW374" s="120"/>
      <c r="AX374" s="120"/>
      <c r="AY374" s="120"/>
      <c r="AZ374" s="120"/>
      <c r="BA374" s="120"/>
      <c r="BB374" s="120"/>
      <c r="BC374" s="120"/>
      <c r="BD374" s="120"/>
      <c r="BE374" s="120"/>
      <c r="BF374" s="120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20"/>
      <c r="BS374" s="120"/>
      <c r="BT374" s="120"/>
      <c r="BU374" s="120"/>
      <c r="BV374" s="120"/>
      <c r="BW374" s="120"/>
      <c r="BX374" s="120"/>
      <c r="BY374" s="120"/>
      <c r="BZ374" s="120"/>
      <c r="CA374" s="120"/>
      <c r="CB374" s="120"/>
      <c r="CC374" s="120"/>
      <c r="CD374" s="120"/>
      <c r="CE374" s="120"/>
      <c r="CF374" s="120"/>
      <c r="CG374" s="120"/>
      <c r="CH374" s="120"/>
      <c r="CI374" s="120"/>
      <c r="CJ374" s="120"/>
      <c r="CK374" s="120"/>
      <c r="CL374" s="120"/>
      <c r="CM374" s="120"/>
      <c r="CN374" s="120"/>
      <c r="CO374" s="120"/>
      <c r="CP374" s="120"/>
      <c r="CQ374" s="120"/>
      <c r="CR374" s="120"/>
      <c r="CS374" s="120"/>
      <c r="CT374" s="120"/>
      <c r="CU374" s="120"/>
      <c r="CV374" s="120"/>
      <c r="CW374" s="120"/>
      <c r="CX374" s="120"/>
      <c r="CY374" s="120"/>
      <c r="CZ374" s="120"/>
      <c r="DA374" s="120"/>
      <c r="DB374" s="120"/>
      <c r="DC374" s="120"/>
      <c r="DD374" s="120"/>
      <c r="DE374" s="120"/>
      <c r="DF374" s="120"/>
      <c r="DG374" s="120"/>
      <c r="DH374" s="120"/>
      <c r="DI374" s="120"/>
      <c r="DJ374" s="120"/>
      <c r="DK374" s="120"/>
      <c r="DL374" s="120"/>
      <c r="DM374" s="120"/>
      <c r="DN374" s="120"/>
      <c r="DO374" s="120"/>
      <c r="DP374" s="120"/>
      <c r="DQ374" s="120"/>
      <c r="DR374" s="120"/>
      <c r="DS374" s="120"/>
      <c r="DT374" s="120"/>
      <c r="DU374" s="120"/>
      <c r="DV374" s="120"/>
      <c r="DW374" s="120"/>
      <c r="DX374" s="120"/>
      <c r="DY374" s="120"/>
      <c r="DZ374" s="120"/>
      <c r="EA374" s="120"/>
      <c r="EB374" s="120"/>
      <c r="EC374" s="120"/>
      <c r="ED374" s="120"/>
      <c r="EE374" s="120"/>
      <c r="EF374" s="120"/>
      <c r="EG374" s="120"/>
      <c r="EH374" s="120"/>
      <c r="EI374" s="120"/>
      <c r="EJ374" s="120"/>
      <c r="EK374" s="120"/>
      <c r="EL374" s="120"/>
      <c r="EM374" s="120"/>
      <c r="EN374" s="120"/>
      <c r="EO374" s="120"/>
      <c r="EP374" s="120"/>
      <c r="EQ374" s="120"/>
      <c r="ER374" s="120"/>
      <c r="ES374" s="120"/>
      <c r="ET374" s="120"/>
      <c r="EU374" s="120"/>
      <c r="EV374" s="120"/>
      <c r="EW374" s="120"/>
      <c r="EX374" s="120"/>
      <c r="EY374" s="120"/>
      <c r="EZ374" s="120"/>
      <c r="FA374" s="120"/>
      <c r="FB374" s="120"/>
      <c r="FC374" s="120"/>
      <c r="FD374" s="120"/>
      <c r="FE374" s="120"/>
      <c r="FF374" s="120"/>
      <c r="FG374" s="120"/>
      <c r="FH374" s="120"/>
      <c r="FI374" s="120"/>
      <c r="FJ374" s="120"/>
      <c r="FK374" s="120"/>
      <c r="FL374" s="120"/>
      <c r="FM374" s="120"/>
      <c r="FN374" s="120"/>
      <c r="FO374" s="120"/>
      <c r="FP374" s="120"/>
      <c r="FQ374" s="120"/>
      <c r="FR374" s="120"/>
      <c r="FS374" s="120"/>
      <c r="FT374" s="120"/>
      <c r="FU374" s="120"/>
      <c r="FV374" s="120"/>
      <c r="FW374" s="120"/>
      <c r="FX374" s="120"/>
      <c r="FY374" s="120"/>
      <c r="FZ374" s="120"/>
      <c r="GA374" s="120"/>
      <c r="GB374" s="120"/>
      <c r="GC374" s="120"/>
      <c r="GD374" s="120"/>
      <c r="GE374" s="120"/>
      <c r="GF374" s="120"/>
      <c r="GG374" s="120"/>
      <c r="GH374" s="120"/>
      <c r="GI374" s="120"/>
      <c r="GJ374" s="120"/>
      <c r="GK374" s="120"/>
      <c r="GL374" s="120"/>
      <c r="GM374" s="120"/>
      <c r="GN374" s="120"/>
      <c r="GO374" s="120"/>
      <c r="GP374" s="120"/>
      <c r="GQ374" s="120"/>
      <c r="GR374" s="120"/>
      <c r="GS374" s="120"/>
      <c r="GT374" s="120"/>
      <c r="GU374" s="120"/>
      <c r="GV374" s="120"/>
      <c r="GW374" s="120"/>
      <c r="GX374" s="120"/>
      <c r="GY374" s="120"/>
      <c r="GZ374" s="120"/>
      <c r="HA374" s="120"/>
      <c r="HB374" s="120"/>
      <c r="HC374" s="120"/>
      <c r="HD374" s="120"/>
      <c r="HE374" s="120"/>
      <c r="HF374" s="120"/>
      <c r="HG374" s="120"/>
      <c r="HH374" s="120"/>
      <c r="HI374" s="120"/>
      <c r="HJ374" s="120"/>
      <c r="HK374" s="120"/>
      <c r="HL374" s="120"/>
      <c r="HM374" s="120"/>
      <c r="HN374" s="120"/>
      <c r="HO374" s="120"/>
      <c r="HP374" s="120"/>
      <c r="HQ374" s="120"/>
      <c r="HR374" s="120"/>
      <c r="HS374" s="120"/>
      <c r="HT374" s="120"/>
      <c r="HU374" s="120"/>
      <c r="HV374" s="120"/>
      <c r="HW374" s="120"/>
      <c r="HX374" s="120"/>
      <c r="HY374" s="120"/>
      <c r="HZ374" s="120"/>
      <c r="IA374" s="120"/>
      <c r="IB374" s="120"/>
      <c r="IC374" s="120"/>
      <c r="ID374" s="120"/>
      <c r="IE374" s="120"/>
      <c r="IF374" s="120"/>
      <c r="IG374" s="120"/>
      <c r="IH374" s="120"/>
      <c r="II374" s="120"/>
      <c r="IJ374" s="120"/>
      <c r="IK374" s="120"/>
      <c r="IL374" s="120"/>
      <c r="IM374" s="120"/>
    </row>
    <row r="375" spans="1:247" ht="33.75" customHeight="1" x14ac:dyDescent="0.25">
      <c r="B375" s="306" t="s">
        <v>158</v>
      </c>
      <c r="C375" s="54" t="s">
        <v>52</v>
      </c>
      <c r="D375" s="90">
        <v>100</v>
      </c>
      <c r="E375" s="90">
        <v>100</v>
      </c>
      <c r="F375" s="64">
        <f>IF((E375/D375*100)&gt;100,"100",E375/D375*100)</f>
        <v>100</v>
      </c>
      <c r="G375" s="688"/>
      <c r="H375" s="443" t="s">
        <v>1245</v>
      </c>
      <c r="I375" s="718"/>
      <c r="J375" s="718"/>
      <c r="K375" s="718"/>
      <c r="L375" s="718"/>
      <c r="M375" s="718"/>
      <c r="N375" s="718"/>
      <c r="O375" s="718"/>
      <c r="P375" s="718"/>
      <c r="Q375" s="718"/>
      <c r="R375" s="718"/>
      <c r="S375" s="718"/>
      <c r="T375" s="718"/>
      <c r="U375" s="718"/>
      <c r="V375" s="718"/>
      <c r="W375" s="718"/>
      <c r="X375" s="718"/>
      <c r="Y375" s="718"/>
      <c r="Z375" s="718"/>
      <c r="AA375" s="718"/>
      <c r="AB375" s="718"/>
      <c r="AC375" s="718"/>
      <c r="AD375" s="718"/>
      <c r="AE375" s="718"/>
      <c r="AF375" s="718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20"/>
      <c r="AV375" s="120"/>
      <c r="AW375" s="120"/>
      <c r="AX375" s="120"/>
      <c r="AY375" s="120"/>
      <c r="AZ375" s="120"/>
      <c r="BA375" s="120"/>
      <c r="BB375" s="120"/>
      <c r="BC375" s="120"/>
      <c r="BD375" s="120"/>
      <c r="BE375" s="120"/>
      <c r="BF375" s="120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20"/>
      <c r="BS375" s="120"/>
      <c r="BT375" s="120"/>
      <c r="BU375" s="120"/>
      <c r="BV375" s="120"/>
      <c r="BW375" s="120"/>
      <c r="BX375" s="120"/>
      <c r="BY375" s="120"/>
      <c r="BZ375" s="120"/>
      <c r="CA375" s="120"/>
      <c r="CB375" s="120"/>
      <c r="CC375" s="120"/>
      <c r="CD375" s="120"/>
      <c r="CE375" s="120"/>
      <c r="CF375" s="120"/>
      <c r="CG375" s="120"/>
      <c r="CH375" s="120"/>
      <c r="CI375" s="120"/>
      <c r="CJ375" s="120"/>
      <c r="CK375" s="120"/>
      <c r="CL375" s="120"/>
      <c r="CM375" s="120"/>
      <c r="CN375" s="120"/>
      <c r="CO375" s="120"/>
      <c r="CP375" s="120"/>
      <c r="CQ375" s="120"/>
      <c r="CR375" s="120"/>
      <c r="CS375" s="120"/>
      <c r="CT375" s="120"/>
      <c r="CU375" s="120"/>
      <c r="CV375" s="120"/>
      <c r="CW375" s="120"/>
      <c r="CX375" s="120"/>
      <c r="CY375" s="120"/>
      <c r="CZ375" s="120"/>
      <c r="DA375" s="120"/>
      <c r="DB375" s="120"/>
      <c r="DC375" s="120"/>
      <c r="DD375" s="120"/>
      <c r="DE375" s="120"/>
      <c r="DF375" s="120"/>
      <c r="DG375" s="120"/>
      <c r="DH375" s="120"/>
      <c r="DI375" s="120"/>
      <c r="DJ375" s="120"/>
      <c r="DK375" s="120"/>
      <c r="DL375" s="120"/>
      <c r="DM375" s="120"/>
      <c r="DN375" s="120"/>
      <c r="DO375" s="120"/>
      <c r="DP375" s="120"/>
      <c r="DQ375" s="120"/>
      <c r="DR375" s="120"/>
      <c r="DS375" s="120"/>
      <c r="DT375" s="120"/>
      <c r="DU375" s="120"/>
      <c r="DV375" s="120"/>
      <c r="DW375" s="120"/>
      <c r="DX375" s="120"/>
      <c r="DY375" s="120"/>
      <c r="DZ375" s="120"/>
      <c r="EA375" s="120"/>
      <c r="EB375" s="120"/>
      <c r="EC375" s="120"/>
      <c r="ED375" s="120"/>
      <c r="EE375" s="120"/>
      <c r="EF375" s="120"/>
      <c r="EG375" s="120"/>
      <c r="EH375" s="120"/>
      <c r="EI375" s="120"/>
      <c r="EJ375" s="120"/>
      <c r="EK375" s="120"/>
      <c r="EL375" s="120"/>
      <c r="EM375" s="120"/>
      <c r="EN375" s="120"/>
      <c r="EO375" s="120"/>
      <c r="EP375" s="120"/>
      <c r="EQ375" s="120"/>
      <c r="ER375" s="120"/>
      <c r="ES375" s="120"/>
      <c r="ET375" s="120"/>
      <c r="EU375" s="120"/>
      <c r="EV375" s="120"/>
      <c r="EW375" s="120"/>
      <c r="EX375" s="120"/>
      <c r="EY375" s="120"/>
      <c r="EZ375" s="120"/>
      <c r="FA375" s="120"/>
      <c r="FB375" s="120"/>
      <c r="FC375" s="120"/>
      <c r="FD375" s="120"/>
      <c r="FE375" s="120"/>
      <c r="FF375" s="120"/>
      <c r="FG375" s="120"/>
      <c r="FH375" s="120"/>
      <c r="FI375" s="120"/>
      <c r="FJ375" s="120"/>
      <c r="FK375" s="120"/>
      <c r="FL375" s="120"/>
      <c r="FM375" s="120"/>
      <c r="FN375" s="120"/>
      <c r="FO375" s="120"/>
      <c r="FP375" s="120"/>
      <c r="FQ375" s="120"/>
      <c r="FR375" s="120"/>
      <c r="FS375" s="120"/>
      <c r="FT375" s="120"/>
      <c r="FU375" s="120"/>
      <c r="FV375" s="120"/>
      <c r="FW375" s="120"/>
      <c r="FX375" s="120"/>
      <c r="FY375" s="120"/>
      <c r="FZ375" s="120"/>
      <c r="GA375" s="120"/>
      <c r="GB375" s="120"/>
      <c r="GC375" s="120"/>
      <c r="GD375" s="120"/>
      <c r="GE375" s="120"/>
      <c r="GF375" s="120"/>
      <c r="GG375" s="120"/>
      <c r="GH375" s="120"/>
      <c r="GI375" s="120"/>
      <c r="GJ375" s="120"/>
      <c r="GK375" s="120"/>
      <c r="GL375" s="120"/>
      <c r="GM375" s="120"/>
      <c r="GN375" s="120"/>
      <c r="GO375" s="120"/>
      <c r="GP375" s="120"/>
      <c r="GQ375" s="120"/>
      <c r="GR375" s="120"/>
      <c r="GS375" s="120"/>
      <c r="GT375" s="120"/>
      <c r="GU375" s="120"/>
      <c r="GV375" s="120"/>
      <c r="GW375" s="120"/>
      <c r="GX375" s="120"/>
      <c r="GY375" s="120"/>
      <c r="GZ375" s="120"/>
      <c r="HA375" s="120"/>
      <c r="HB375" s="120"/>
      <c r="HC375" s="120"/>
      <c r="HD375" s="120"/>
      <c r="HE375" s="120"/>
      <c r="HF375" s="120"/>
      <c r="HG375" s="120"/>
      <c r="HH375" s="120"/>
      <c r="HI375" s="120"/>
      <c r="HJ375" s="120"/>
      <c r="HK375" s="120"/>
      <c r="HL375" s="120"/>
      <c r="HM375" s="120"/>
      <c r="HN375" s="120"/>
      <c r="HO375" s="120"/>
      <c r="HP375" s="120"/>
      <c r="HQ375" s="120"/>
      <c r="HR375" s="120"/>
      <c r="HS375" s="120"/>
      <c r="HT375" s="120"/>
      <c r="HU375" s="120"/>
      <c r="HV375" s="120"/>
      <c r="HW375" s="120"/>
      <c r="HX375" s="120"/>
      <c r="HY375" s="120"/>
      <c r="HZ375" s="120"/>
      <c r="IA375" s="120"/>
      <c r="IB375" s="120"/>
      <c r="IC375" s="120"/>
      <c r="ID375" s="120"/>
      <c r="IE375" s="120"/>
      <c r="IF375" s="120"/>
      <c r="IG375" s="120"/>
      <c r="IH375" s="120"/>
      <c r="II375" s="120"/>
      <c r="IJ375" s="120"/>
      <c r="IK375" s="120"/>
      <c r="IL375" s="120"/>
      <c r="IM375" s="120"/>
    </row>
    <row r="376" spans="1:247" ht="80.25" customHeight="1" x14ac:dyDescent="0.25">
      <c r="B376" s="89" t="s">
        <v>159</v>
      </c>
      <c r="C376" s="54" t="s">
        <v>52</v>
      </c>
      <c r="D376" s="374">
        <v>10</v>
      </c>
      <c r="E376" s="451">
        <f>58/572*100</f>
        <v>10.13986013986014</v>
      </c>
      <c r="F376" s="64" t="str">
        <f>IF((E376/D376*100)&gt;100,"100",E376/D376*100)</f>
        <v>100</v>
      </c>
      <c r="G376" s="688"/>
      <c r="H376" s="452" t="s">
        <v>1246</v>
      </c>
      <c r="I376" s="718"/>
      <c r="J376" s="718"/>
      <c r="K376" s="718"/>
      <c r="L376" s="718"/>
      <c r="M376" s="718"/>
      <c r="N376" s="718"/>
      <c r="O376" s="718"/>
      <c r="P376" s="718"/>
      <c r="Q376" s="718"/>
      <c r="R376" s="718"/>
      <c r="S376" s="718"/>
      <c r="T376" s="718"/>
      <c r="U376" s="718"/>
      <c r="V376" s="718"/>
      <c r="W376" s="718"/>
      <c r="X376" s="718"/>
      <c r="Y376" s="718"/>
      <c r="Z376" s="718"/>
      <c r="AA376" s="718"/>
      <c r="AB376" s="718"/>
      <c r="AC376" s="718"/>
      <c r="AD376" s="718"/>
      <c r="AE376" s="718"/>
      <c r="AF376" s="718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20"/>
      <c r="AV376" s="120"/>
      <c r="AW376" s="120"/>
      <c r="AX376" s="120"/>
      <c r="AY376" s="120"/>
      <c r="AZ376" s="120"/>
      <c r="BA376" s="120"/>
      <c r="BB376" s="120"/>
      <c r="BC376" s="120"/>
      <c r="BD376" s="120"/>
      <c r="BE376" s="120"/>
      <c r="BF376" s="120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20"/>
      <c r="BS376" s="120"/>
      <c r="BT376" s="120"/>
      <c r="BU376" s="120"/>
      <c r="BV376" s="120"/>
      <c r="BW376" s="120"/>
      <c r="BX376" s="120"/>
      <c r="BY376" s="120"/>
      <c r="BZ376" s="120"/>
      <c r="CA376" s="120"/>
      <c r="CB376" s="120"/>
      <c r="CC376" s="120"/>
      <c r="CD376" s="120"/>
      <c r="CE376" s="120"/>
      <c r="CF376" s="120"/>
      <c r="CG376" s="120"/>
      <c r="CH376" s="120"/>
      <c r="CI376" s="120"/>
      <c r="CJ376" s="120"/>
      <c r="CK376" s="120"/>
      <c r="CL376" s="120"/>
      <c r="CM376" s="120"/>
      <c r="CN376" s="120"/>
      <c r="CO376" s="120"/>
      <c r="CP376" s="120"/>
      <c r="CQ376" s="120"/>
      <c r="CR376" s="120"/>
      <c r="CS376" s="120"/>
      <c r="CT376" s="120"/>
      <c r="CU376" s="120"/>
      <c r="CV376" s="120"/>
      <c r="CW376" s="120"/>
      <c r="CX376" s="120"/>
      <c r="CY376" s="120"/>
      <c r="CZ376" s="120"/>
      <c r="DA376" s="120"/>
      <c r="DB376" s="120"/>
      <c r="DC376" s="120"/>
      <c r="DD376" s="120"/>
      <c r="DE376" s="120"/>
      <c r="DF376" s="120"/>
      <c r="DG376" s="120"/>
      <c r="DH376" s="120"/>
      <c r="DI376" s="120"/>
      <c r="DJ376" s="120"/>
      <c r="DK376" s="120"/>
      <c r="DL376" s="120"/>
      <c r="DM376" s="120"/>
      <c r="DN376" s="120"/>
      <c r="DO376" s="120"/>
      <c r="DP376" s="120"/>
      <c r="DQ376" s="120"/>
      <c r="DR376" s="120"/>
      <c r="DS376" s="120"/>
      <c r="DT376" s="120"/>
      <c r="DU376" s="120"/>
      <c r="DV376" s="120"/>
      <c r="DW376" s="120"/>
      <c r="DX376" s="120"/>
      <c r="DY376" s="120"/>
      <c r="DZ376" s="120"/>
      <c r="EA376" s="120"/>
      <c r="EB376" s="120"/>
      <c r="EC376" s="120"/>
      <c r="ED376" s="120"/>
      <c r="EE376" s="120"/>
      <c r="EF376" s="120"/>
      <c r="EG376" s="120"/>
      <c r="EH376" s="120"/>
      <c r="EI376" s="120"/>
      <c r="EJ376" s="120"/>
      <c r="EK376" s="120"/>
      <c r="EL376" s="120"/>
      <c r="EM376" s="120"/>
      <c r="EN376" s="120"/>
      <c r="EO376" s="120"/>
      <c r="EP376" s="120"/>
      <c r="EQ376" s="120"/>
      <c r="ER376" s="120"/>
      <c r="ES376" s="120"/>
      <c r="ET376" s="120"/>
      <c r="EU376" s="120"/>
      <c r="EV376" s="120"/>
      <c r="EW376" s="120"/>
      <c r="EX376" s="120"/>
      <c r="EY376" s="120"/>
      <c r="EZ376" s="120"/>
      <c r="FA376" s="120"/>
      <c r="FB376" s="120"/>
      <c r="FC376" s="120"/>
      <c r="FD376" s="120"/>
      <c r="FE376" s="120"/>
      <c r="FF376" s="120"/>
      <c r="FG376" s="120"/>
      <c r="FH376" s="120"/>
      <c r="FI376" s="120"/>
      <c r="FJ376" s="120"/>
      <c r="FK376" s="120"/>
      <c r="FL376" s="120"/>
      <c r="FM376" s="120"/>
      <c r="FN376" s="120"/>
      <c r="FO376" s="120"/>
      <c r="FP376" s="120"/>
      <c r="FQ376" s="120"/>
      <c r="FR376" s="120"/>
      <c r="FS376" s="120"/>
      <c r="FT376" s="120"/>
      <c r="FU376" s="120"/>
      <c r="FV376" s="120"/>
      <c r="FW376" s="120"/>
      <c r="FX376" s="120"/>
      <c r="FY376" s="120"/>
      <c r="FZ376" s="120"/>
      <c r="GA376" s="120"/>
      <c r="GB376" s="120"/>
      <c r="GC376" s="120"/>
      <c r="GD376" s="120"/>
      <c r="GE376" s="120"/>
      <c r="GF376" s="120"/>
      <c r="GG376" s="120"/>
      <c r="GH376" s="120"/>
      <c r="GI376" s="120"/>
      <c r="GJ376" s="120"/>
      <c r="GK376" s="120"/>
      <c r="GL376" s="120"/>
      <c r="GM376" s="120"/>
      <c r="GN376" s="120"/>
      <c r="GO376" s="120"/>
      <c r="GP376" s="120"/>
      <c r="GQ376" s="120"/>
      <c r="GR376" s="120"/>
      <c r="GS376" s="120"/>
      <c r="GT376" s="120"/>
      <c r="GU376" s="120"/>
      <c r="GV376" s="120"/>
      <c r="GW376" s="120"/>
      <c r="GX376" s="120"/>
      <c r="GY376" s="120"/>
      <c r="GZ376" s="120"/>
      <c r="HA376" s="120"/>
      <c r="HB376" s="120"/>
      <c r="HC376" s="120"/>
      <c r="HD376" s="120"/>
      <c r="HE376" s="120"/>
      <c r="HF376" s="120"/>
      <c r="HG376" s="120"/>
      <c r="HH376" s="120"/>
      <c r="HI376" s="120"/>
      <c r="HJ376" s="120"/>
      <c r="HK376" s="120"/>
      <c r="HL376" s="120"/>
      <c r="HM376" s="120"/>
      <c r="HN376" s="120"/>
      <c r="HO376" s="120"/>
      <c r="HP376" s="120"/>
      <c r="HQ376" s="120"/>
      <c r="HR376" s="120"/>
      <c r="HS376" s="120"/>
      <c r="HT376" s="120"/>
      <c r="HU376" s="120"/>
      <c r="HV376" s="120"/>
      <c r="HW376" s="120"/>
      <c r="HX376" s="120"/>
      <c r="HY376" s="120"/>
      <c r="HZ376" s="120"/>
      <c r="IA376" s="120"/>
      <c r="IB376" s="120"/>
      <c r="IC376" s="120"/>
      <c r="ID376" s="120"/>
      <c r="IE376" s="120"/>
      <c r="IF376" s="120"/>
      <c r="IG376" s="120"/>
      <c r="IH376" s="120"/>
      <c r="II376" s="120"/>
      <c r="IJ376" s="120"/>
      <c r="IK376" s="120"/>
      <c r="IL376" s="120"/>
      <c r="IM376" s="120"/>
    </row>
    <row r="377" spans="1:247" ht="80.25" customHeight="1" x14ac:dyDescent="0.25">
      <c r="B377" s="89" t="s">
        <v>160</v>
      </c>
      <c r="C377" s="54" t="s">
        <v>52</v>
      </c>
      <c r="D377" s="374">
        <v>5</v>
      </c>
      <c r="E377" s="451">
        <f>45/572*100</f>
        <v>7.8671328671328675</v>
      </c>
      <c r="F377" s="64" t="str">
        <f>IF((E377/D377*100)&gt;100,"100",E377/D377*100)</f>
        <v>100</v>
      </c>
      <c r="G377" s="688"/>
      <c r="H377" s="452" t="s">
        <v>1247</v>
      </c>
      <c r="I377" s="718"/>
      <c r="J377" s="718"/>
      <c r="K377" s="718"/>
      <c r="L377" s="718"/>
      <c r="M377" s="718"/>
      <c r="N377" s="718"/>
      <c r="O377" s="718"/>
      <c r="P377" s="718"/>
      <c r="Q377" s="718"/>
      <c r="R377" s="718"/>
      <c r="S377" s="718"/>
      <c r="T377" s="718"/>
      <c r="U377" s="718"/>
      <c r="V377" s="718"/>
      <c r="W377" s="718"/>
      <c r="X377" s="718"/>
      <c r="Y377" s="718"/>
      <c r="Z377" s="718"/>
      <c r="AA377" s="718"/>
      <c r="AB377" s="718"/>
      <c r="AC377" s="718"/>
      <c r="AD377" s="718"/>
      <c r="AE377" s="718"/>
      <c r="AF377" s="718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20"/>
      <c r="AV377" s="120"/>
      <c r="AW377" s="120"/>
      <c r="AX377" s="120"/>
      <c r="AY377" s="120"/>
      <c r="AZ377" s="120"/>
      <c r="BA377" s="120"/>
      <c r="BB377" s="120"/>
      <c r="BC377" s="120"/>
      <c r="BD377" s="120"/>
      <c r="BE377" s="120"/>
      <c r="BF377" s="120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20"/>
      <c r="BS377" s="120"/>
      <c r="BT377" s="120"/>
      <c r="BU377" s="120"/>
      <c r="BV377" s="120"/>
      <c r="BW377" s="120"/>
      <c r="BX377" s="120"/>
      <c r="BY377" s="120"/>
      <c r="BZ377" s="120"/>
      <c r="CA377" s="120"/>
      <c r="CB377" s="120"/>
      <c r="CC377" s="120"/>
      <c r="CD377" s="120"/>
      <c r="CE377" s="120"/>
      <c r="CF377" s="120"/>
      <c r="CG377" s="120"/>
      <c r="CH377" s="120"/>
      <c r="CI377" s="120"/>
      <c r="CJ377" s="120"/>
      <c r="CK377" s="120"/>
      <c r="CL377" s="120"/>
      <c r="CM377" s="120"/>
      <c r="CN377" s="120"/>
      <c r="CO377" s="120"/>
      <c r="CP377" s="120"/>
      <c r="CQ377" s="120"/>
      <c r="CR377" s="120"/>
      <c r="CS377" s="120"/>
      <c r="CT377" s="120"/>
      <c r="CU377" s="120"/>
      <c r="CV377" s="120"/>
      <c r="CW377" s="120"/>
      <c r="CX377" s="120"/>
      <c r="CY377" s="120"/>
      <c r="CZ377" s="120"/>
      <c r="DA377" s="120"/>
      <c r="DB377" s="120"/>
      <c r="DC377" s="120"/>
      <c r="DD377" s="120"/>
      <c r="DE377" s="120"/>
      <c r="DF377" s="120"/>
      <c r="DG377" s="120"/>
      <c r="DH377" s="120"/>
      <c r="DI377" s="120"/>
      <c r="DJ377" s="120"/>
      <c r="DK377" s="120"/>
      <c r="DL377" s="120"/>
      <c r="DM377" s="120"/>
      <c r="DN377" s="120"/>
      <c r="DO377" s="120"/>
      <c r="DP377" s="120"/>
      <c r="DQ377" s="120"/>
      <c r="DR377" s="120"/>
      <c r="DS377" s="120"/>
      <c r="DT377" s="120"/>
      <c r="DU377" s="120"/>
      <c r="DV377" s="120"/>
      <c r="DW377" s="120"/>
      <c r="DX377" s="120"/>
      <c r="DY377" s="120"/>
      <c r="DZ377" s="120"/>
      <c r="EA377" s="120"/>
      <c r="EB377" s="120"/>
      <c r="EC377" s="120"/>
      <c r="ED377" s="120"/>
      <c r="EE377" s="120"/>
      <c r="EF377" s="120"/>
      <c r="EG377" s="120"/>
      <c r="EH377" s="120"/>
      <c r="EI377" s="120"/>
      <c r="EJ377" s="120"/>
      <c r="EK377" s="120"/>
      <c r="EL377" s="120"/>
      <c r="EM377" s="120"/>
      <c r="EN377" s="120"/>
      <c r="EO377" s="120"/>
      <c r="EP377" s="120"/>
      <c r="EQ377" s="120"/>
      <c r="ER377" s="120"/>
      <c r="ES377" s="120"/>
      <c r="ET377" s="120"/>
      <c r="EU377" s="120"/>
      <c r="EV377" s="120"/>
      <c r="EW377" s="120"/>
      <c r="EX377" s="120"/>
      <c r="EY377" s="120"/>
      <c r="EZ377" s="120"/>
      <c r="FA377" s="120"/>
      <c r="FB377" s="120"/>
      <c r="FC377" s="120"/>
      <c r="FD377" s="120"/>
      <c r="FE377" s="120"/>
      <c r="FF377" s="120"/>
      <c r="FG377" s="120"/>
      <c r="FH377" s="120"/>
      <c r="FI377" s="120"/>
      <c r="FJ377" s="120"/>
      <c r="FK377" s="120"/>
      <c r="FL377" s="120"/>
      <c r="FM377" s="120"/>
      <c r="FN377" s="120"/>
      <c r="FO377" s="120"/>
      <c r="FP377" s="120"/>
      <c r="FQ377" s="120"/>
      <c r="FR377" s="120"/>
      <c r="FS377" s="120"/>
      <c r="FT377" s="120"/>
      <c r="FU377" s="120"/>
      <c r="FV377" s="120"/>
      <c r="FW377" s="120"/>
      <c r="FX377" s="120"/>
      <c r="FY377" s="120"/>
      <c r="FZ377" s="120"/>
      <c r="GA377" s="120"/>
      <c r="GB377" s="120"/>
      <c r="GC377" s="120"/>
      <c r="GD377" s="120"/>
      <c r="GE377" s="120"/>
      <c r="GF377" s="120"/>
      <c r="GG377" s="120"/>
      <c r="GH377" s="120"/>
      <c r="GI377" s="120"/>
      <c r="GJ377" s="120"/>
      <c r="GK377" s="120"/>
      <c r="GL377" s="120"/>
      <c r="GM377" s="120"/>
      <c r="GN377" s="120"/>
      <c r="GO377" s="120"/>
      <c r="GP377" s="120"/>
      <c r="GQ377" s="120"/>
      <c r="GR377" s="120"/>
      <c r="GS377" s="120"/>
      <c r="GT377" s="120"/>
      <c r="GU377" s="120"/>
      <c r="GV377" s="120"/>
      <c r="GW377" s="120"/>
      <c r="GX377" s="120"/>
      <c r="GY377" s="120"/>
      <c r="GZ377" s="120"/>
      <c r="HA377" s="120"/>
      <c r="HB377" s="120"/>
      <c r="HC377" s="120"/>
      <c r="HD377" s="120"/>
      <c r="HE377" s="120"/>
      <c r="HF377" s="120"/>
      <c r="HG377" s="120"/>
      <c r="HH377" s="120"/>
      <c r="HI377" s="120"/>
      <c r="HJ377" s="120"/>
      <c r="HK377" s="120"/>
      <c r="HL377" s="120"/>
      <c r="HM377" s="120"/>
      <c r="HN377" s="120"/>
      <c r="HO377" s="120"/>
      <c r="HP377" s="120"/>
      <c r="HQ377" s="120"/>
      <c r="HR377" s="120"/>
      <c r="HS377" s="120"/>
      <c r="HT377" s="120"/>
      <c r="HU377" s="120"/>
      <c r="HV377" s="120"/>
      <c r="HW377" s="120"/>
      <c r="HX377" s="120"/>
      <c r="HY377" s="120"/>
      <c r="HZ377" s="120"/>
      <c r="IA377" s="120"/>
      <c r="IB377" s="120"/>
      <c r="IC377" s="120"/>
      <c r="ID377" s="120"/>
      <c r="IE377" s="120"/>
      <c r="IF377" s="120"/>
      <c r="IG377" s="120"/>
      <c r="IH377" s="120"/>
      <c r="II377" s="120"/>
      <c r="IJ377" s="120"/>
      <c r="IK377" s="120"/>
      <c r="IL377" s="120"/>
      <c r="IM377" s="120"/>
    </row>
    <row r="378" spans="1:247" ht="48.75" customHeight="1" x14ac:dyDescent="0.25">
      <c r="B378" s="89" t="s">
        <v>161</v>
      </c>
      <c r="C378" s="54" t="s">
        <v>52</v>
      </c>
      <c r="D378" s="374">
        <v>2.5</v>
      </c>
      <c r="E378" s="451">
        <f>15/572*100</f>
        <v>2.6223776223776225</v>
      </c>
      <c r="F378" s="64" t="str">
        <f>IF((E378/D378*100)&gt;100,"100",E378/D378*100)</f>
        <v>100</v>
      </c>
      <c r="G378" s="688"/>
      <c r="H378" s="452" t="s">
        <v>1248</v>
      </c>
      <c r="I378" s="718"/>
      <c r="J378" s="718"/>
      <c r="K378" s="718"/>
      <c r="L378" s="718"/>
      <c r="M378" s="718"/>
      <c r="N378" s="718"/>
      <c r="O378" s="718"/>
      <c r="P378" s="718"/>
      <c r="Q378" s="718"/>
      <c r="R378" s="718"/>
      <c r="S378" s="718"/>
      <c r="T378" s="718"/>
      <c r="U378" s="718"/>
      <c r="V378" s="718"/>
      <c r="W378" s="718"/>
      <c r="X378" s="718"/>
      <c r="Y378" s="718"/>
      <c r="Z378" s="718"/>
      <c r="AA378" s="718"/>
      <c r="AB378" s="718"/>
      <c r="AC378" s="718"/>
      <c r="AD378" s="718"/>
      <c r="AE378" s="718"/>
      <c r="AF378" s="718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20"/>
      <c r="AV378" s="120"/>
      <c r="AW378" s="120"/>
      <c r="AX378" s="120"/>
      <c r="AY378" s="120"/>
      <c r="AZ378" s="120"/>
      <c r="BA378" s="120"/>
      <c r="BB378" s="120"/>
      <c r="BC378" s="120"/>
      <c r="BD378" s="120"/>
      <c r="BE378" s="120"/>
      <c r="BF378" s="120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20"/>
      <c r="BS378" s="120"/>
      <c r="BT378" s="120"/>
      <c r="BU378" s="120"/>
      <c r="BV378" s="120"/>
      <c r="BW378" s="120"/>
      <c r="BX378" s="120"/>
      <c r="BY378" s="120"/>
      <c r="BZ378" s="120"/>
      <c r="CA378" s="120"/>
      <c r="CB378" s="120"/>
      <c r="CC378" s="120"/>
      <c r="CD378" s="120"/>
      <c r="CE378" s="120"/>
      <c r="CF378" s="120"/>
      <c r="CG378" s="120"/>
      <c r="CH378" s="120"/>
      <c r="CI378" s="120"/>
      <c r="CJ378" s="120"/>
      <c r="CK378" s="120"/>
      <c r="CL378" s="120"/>
      <c r="CM378" s="120"/>
      <c r="CN378" s="120"/>
      <c r="CO378" s="120"/>
      <c r="CP378" s="120"/>
      <c r="CQ378" s="120"/>
      <c r="CR378" s="120"/>
      <c r="CS378" s="120"/>
      <c r="CT378" s="120"/>
      <c r="CU378" s="120"/>
      <c r="CV378" s="120"/>
      <c r="CW378" s="120"/>
      <c r="CX378" s="120"/>
      <c r="CY378" s="120"/>
      <c r="CZ378" s="120"/>
      <c r="DA378" s="120"/>
      <c r="DB378" s="120"/>
      <c r="DC378" s="120"/>
      <c r="DD378" s="120"/>
      <c r="DE378" s="120"/>
      <c r="DF378" s="120"/>
      <c r="DG378" s="120"/>
      <c r="DH378" s="120"/>
      <c r="DI378" s="120"/>
      <c r="DJ378" s="120"/>
      <c r="DK378" s="120"/>
      <c r="DL378" s="120"/>
      <c r="DM378" s="120"/>
      <c r="DN378" s="120"/>
      <c r="DO378" s="120"/>
      <c r="DP378" s="120"/>
      <c r="DQ378" s="120"/>
      <c r="DR378" s="120"/>
      <c r="DS378" s="120"/>
      <c r="DT378" s="120"/>
      <c r="DU378" s="120"/>
      <c r="DV378" s="120"/>
      <c r="DW378" s="120"/>
      <c r="DX378" s="120"/>
      <c r="DY378" s="120"/>
      <c r="DZ378" s="120"/>
      <c r="EA378" s="120"/>
      <c r="EB378" s="120"/>
      <c r="EC378" s="120"/>
      <c r="ED378" s="120"/>
      <c r="EE378" s="120"/>
      <c r="EF378" s="120"/>
      <c r="EG378" s="120"/>
      <c r="EH378" s="120"/>
      <c r="EI378" s="120"/>
      <c r="EJ378" s="120"/>
      <c r="EK378" s="120"/>
      <c r="EL378" s="120"/>
      <c r="EM378" s="120"/>
      <c r="EN378" s="120"/>
      <c r="EO378" s="120"/>
      <c r="EP378" s="120"/>
      <c r="EQ378" s="120"/>
      <c r="ER378" s="120"/>
      <c r="ES378" s="120"/>
      <c r="ET378" s="120"/>
      <c r="EU378" s="120"/>
      <c r="EV378" s="120"/>
      <c r="EW378" s="120"/>
      <c r="EX378" s="120"/>
      <c r="EY378" s="120"/>
      <c r="EZ378" s="120"/>
      <c r="FA378" s="120"/>
      <c r="FB378" s="120"/>
      <c r="FC378" s="120"/>
      <c r="FD378" s="120"/>
      <c r="FE378" s="120"/>
      <c r="FF378" s="120"/>
      <c r="FG378" s="120"/>
      <c r="FH378" s="120"/>
      <c r="FI378" s="120"/>
      <c r="FJ378" s="120"/>
      <c r="FK378" s="120"/>
      <c r="FL378" s="120"/>
      <c r="FM378" s="120"/>
      <c r="FN378" s="120"/>
      <c r="FO378" s="120"/>
      <c r="FP378" s="120"/>
      <c r="FQ378" s="120"/>
      <c r="FR378" s="120"/>
      <c r="FS378" s="120"/>
      <c r="FT378" s="120"/>
      <c r="FU378" s="120"/>
      <c r="FV378" s="120"/>
      <c r="FW378" s="120"/>
      <c r="FX378" s="120"/>
      <c r="FY378" s="120"/>
      <c r="FZ378" s="120"/>
      <c r="GA378" s="120"/>
      <c r="GB378" s="120"/>
      <c r="GC378" s="120"/>
      <c r="GD378" s="120"/>
      <c r="GE378" s="120"/>
      <c r="GF378" s="120"/>
      <c r="GG378" s="120"/>
      <c r="GH378" s="120"/>
      <c r="GI378" s="120"/>
      <c r="GJ378" s="120"/>
      <c r="GK378" s="120"/>
      <c r="GL378" s="120"/>
      <c r="GM378" s="120"/>
      <c r="GN378" s="120"/>
      <c r="GO378" s="120"/>
      <c r="GP378" s="120"/>
      <c r="GQ378" s="120"/>
      <c r="GR378" s="120"/>
      <c r="GS378" s="120"/>
      <c r="GT378" s="120"/>
      <c r="GU378" s="120"/>
      <c r="GV378" s="120"/>
      <c r="GW378" s="120"/>
      <c r="GX378" s="120"/>
      <c r="GY378" s="120"/>
      <c r="GZ378" s="120"/>
      <c r="HA378" s="120"/>
      <c r="HB378" s="120"/>
      <c r="HC378" s="120"/>
      <c r="HD378" s="120"/>
      <c r="HE378" s="120"/>
      <c r="HF378" s="120"/>
      <c r="HG378" s="120"/>
      <c r="HH378" s="120"/>
      <c r="HI378" s="120"/>
      <c r="HJ378" s="120"/>
      <c r="HK378" s="120"/>
      <c r="HL378" s="120"/>
      <c r="HM378" s="120"/>
      <c r="HN378" s="120"/>
      <c r="HO378" s="120"/>
      <c r="HP378" s="120"/>
      <c r="HQ378" s="120"/>
      <c r="HR378" s="120"/>
      <c r="HS378" s="120"/>
      <c r="HT378" s="120"/>
      <c r="HU378" s="120"/>
      <c r="HV378" s="120"/>
      <c r="HW378" s="120"/>
      <c r="HX378" s="120"/>
      <c r="HY378" s="120"/>
      <c r="HZ378" s="120"/>
      <c r="IA378" s="120"/>
      <c r="IB378" s="120"/>
      <c r="IC378" s="120"/>
      <c r="ID378" s="120"/>
      <c r="IE378" s="120"/>
      <c r="IF378" s="120"/>
      <c r="IG378" s="120"/>
      <c r="IH378" s="120"/>
      <c r="II378" s="120"/>
      <c r="IJ378" s="120"/>
      <c r="IK378" s="120"/>
      <c r="IL378" s="120"/>
      <c r="IM378" s="120"/>
    </row>
    <row r="379" spans="1:247" ht="84.75" customHeight="1" x14ac:dyDescent="0.25">
      <c r="B379" s="308" t="s">
        <v>162</v>
      </c>
      <c r="C379" s="50" t="s">
        <v>85</v>
      </c>
      <c r="D379" s="309">
        <v>0</v>
      </c>
      <c r="E379" s="309">
        <v>0</v>
      </c>
      <c r="F379" s="64"/>
      <c r="G379" s="688"/>
      <c r="H379" s="454" t="s">
        <v>1003</v>
      </c>
      <c r="I379" s="718"/>
      <c r="J379" s="718"/>
      <c r="K379" s="718"/>
      <c r="L379" s="718"/>
      <c r="M379" s="718"/>
      <c r="N379" s="718"/>
      <c r="O379" s="718"/>
      <c r="P379" s="718"/>
      <c r="Q379" s="718"/>
      <c r="R379" s="718"/>
      <c r="S379" s="718"/>
      <c r="T379" s="718"/>
      <c r="U379" s="718"/>
      <c r="V379" s="718"/>
      <c r="W379" s="718"/>
      <c r="X379" s="718"/>
      <c r="Y379" s="718"/>
      <c r="Z379" s="718"/>
      <c r="AA379" s="718"/>
      <c r="AB379" s="718"/>
      <c r="AC379" s="718"/>
      <c r="AD379" s="718"/>
      <c r="AE379" s="718"/>
      <c r="AF379" s="718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20"/>
      <c r="AV379" s="120"/>
      <c r="AW379" s="120"/>
      <c r="AX379" s="120"/>
      <c r="AY379" s="120"/>
      <c r="AZ379" s="120"/>
      <c r="BA379" s="120"/>
      <c r="BB379" s="120"/>
      <c r="BC379" s="120"/>
      <c r="BD379" s="120"/>
      <c r="BE379" s="120"/>
      <c r="BF379" s="120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20"/>
      <c r="BS379" s="120"/>
      <c r="BT379" s="120"/>
      <c r="BU379" s="120"/>
      <c r="BV379" s="120"/>
      <c r="BW379" s="120"/>
      <c r="BX379" s="120"/>
      <c r="BY379" s="120"/>
      <c r="BZ379" s="120"/>
      <c r="CA379" s="120"/>
      <c r="CB379" s="120"/>
      <c r="CC379" s="120"/>
      <c r="CD379" s="120"/>
      <c r="CE379" s="120"/>
      <c r="CF379" s="120"/>
      <c r="CG379" s="120"/>
      <c r="CH379" s="120"/>
      <c r="CI379" s="120"/>
      <c r="CJ379" s="120"/>
      <c r="CK379" s="120"/>
      <c r="CL379" s="120"/>
      <c r="CM379" s="120"/>
      <c r="CN379" s="120"/>
      <c r="CO379" s="120"/>
      <c r="CP379" s="120"/>
      <c r="CQ379" s="120"/>
      <c r="CR379" s="120"/>
      <c r="CS379" s="120"/>
      <c r="CT379" s="120"/>
      <c r="CU379" s="120"/>
      <c r="CV379" s="120"/>
      <c r="CW379" s="120"/>
      <c r="CX379" s="120"/>
      <c r="CY379" s="120"/>
      <c r="CZ379" s="120"/>
      <c r="DA379" s="120"/>
      <c r="DB379" s="120"/>
      <c r="DC379" s="120"/>
      <c r="DD379" s="120"/>
      <c r="DE379" s="120"/>
      <c r="DF379" s="120"/>
      <c r="DG379" s="120"/>
      <c r="DH379" s="120"/>
      <c r="DI379" s="120"/>
      <c r="DJ379" s="120"/>
      <c r="DK379" s="120"/>
      <c r="DL379" s="120"/>
      <c r="DM379" s="120"/>
      <c r="DN379" s="120"/>
      <c r="DO379" s="120"/>
      <c r="DP379" s="120"/>
      <c r="DQ379" s="120"/>
      <c r="DR379" s="120"/>
      <c r="DS379" s="120"/>
      <c r="DT379" s="120"/>
      <c r="DU379" s="120"/>
      <c r="DV379" s="120"/>
      <c r="DW379" s="120"/>
      <c r="DX379" s="120"/>
      <c r="DY379" s="120"/>
      <c r="DZ379" s="120"/>
      <c r="EA379" s="120"/>
      <c r="EB379" s="120"/>
      <c r="EC379" s="120"/>
      <c r="ED379" s="120"/>
      <c r="EE379" s="120"/>
      <c r="EF379" s="120"/>
      <c r="EG379" s="120"/>
      <c r="EH379" s="120"/>
      <c r="EI379" s="120"/>
      <c r="EJ379" s="120"/>
      <c r="EK379" s="120"/>
      <c r="EL379" s="120"/>
      <c r="EM379" s="120"/>
      <c r="EN379" s="120"/>
      <c r="EO379" s="120"/>
      <c r="EP379" s="120"/>
      <c r="EQ379" s="120"/>
      <c r="ER379" s="120"/>
      <c r="ES379" s="120"/>
      <c r="ET379" s="120"/>
      <c r="EU379" s="120"/>
      <c r="EV379" s="120"/>
      <c r="EW379" s="120"/>
      <c r="EX379" s="120"/>
      <c r="EY379" s="120"/>
      <c r="EZ379" s="120"/>
      <c r="FA379" s="120"/>
      <c r="FB379" s="120"/>
      <c r="FC379" s="120"/>
      <c r="FD379" s="120"/>
      <c r="FE379" s="120"/>
      <c r="FF379" s="120"/>
      <c r="FG379" s="120"/>
      <c r="FH379" s="120"/>
      <c r="FI379" s="120"/>
      <c r="FJ379" s="120"/>
      <c r="FK379" s="120"/>
      <c r="FL379" s="120"/>
      <c r="FM379" s="120"/>
      <c r="FN379" s="120"/>
      <c r="FO379" s="120"/>
      <c r="FP379" s="120"/>
      <c r="FQ379" s="120"/>
      <c r="FR379" s="120"/>
      <c r="FS379" s="120"/>
      <c r="FT379" s="120"/>
      <c r="FU379" s="120"/>
      <c r="FV379" s="120"/>
      <c r="FW379" s="120"/>
      <c r="FX379" s="120"/>
      <c r="FY379" s="120"/>
      <c r="FZ379" s="120"/>
      <c r="GA379" s="120"/>
      <c r="GB379" s="120"/>
      <c r="GC379" s="120"/>
      <c r="GD379" s="120"/>
      <c r="GE379" s="120"/>
      <c r="GF379" s="120"/>
      <c r="GG379" s="120"/>
      <c r="GH379" s="120"/>
      <c r="GI379" s="120"/>
      <c r="GJ379" s="120"/>
      <c r="GK379" s="120"/>
      <c r="GL379" s="120"/>
      <c r="GM379" s="120"/>
      <c r="GN379" s="120"/>
      <c r="GO379" s="120"/>
      <c r="GP379" s="120"/>
      <c r="GQ379" s="120"/>
      <c r="GR379" s="120"/>
      <c r="GS379" s="120"/>
      <c r="GT379" s="120"/>
      <c r="GU379" s="120"/>
      <c r="GV379" s="120"/>
      <c r="GW379" s="120"/>
      <c r="GX379" s="120"/>
      <c r="GY379" s="120"/>
      <c r="GZ379" s="120"/>
      <c r="HA379" s="120"/>
      <c r="HB379" s="120"/>
      <c r="HC379" s="120"/>
      <c r="HD379" s="120"/>
      <c r="HE379" s="120"/>
      <c r="HF379" s="120"/>
      <c r="HG379" s="120"/>
      <c r="HH379" s="120"/>
      <c r="HI379" s="120"/>
      <c r="HJ379" s="120"/>
      <c r="HK379" s="120"/>
      <c r="HL379" s="120"/>
      <c r="HM379" s="120"/>
      <c r="HN379" s="120"/>
      <c r="HO379" s="120"/>
      <c r="HP379" s="120"/>
      <c r="HQ379" s="120"/>
      <c r="HR379" s="120"/>
      <c r="HS379" s="120"/>
      <c r="HT379" s="120"/>
      <c r="HU379" s="120"/>
      <c r="HV379" s="120"/>
      <c r="HW379" s="120"/>
      <c r="HX379" s="120"/>
      <c r="HY379" s="120"/>
      <c r="HZ379" s="120"/>
      <c r="IA379" s="120"/>
      <c r="IB379" s="120"/>
      <c r="IC379" s="120"/>
      <c r="ID379" s="120"/>
      <c r="IE379" s="120"/>
      <c r="IF379" s="120"/>
      <c r="IG379" s="120"/>
      <c r="IH379" s="120"/>
      <c r="II379" s="120"/>
      <c r="IJ379" s="120"/>
      <c r="IK379" s="120"/>
      <c r="IL379" s="120"/>
      <c r="IM379" s="120"/>
    </row>
    <row r="380" spans="1:247" x14ac:dyDescent="0.25">
      <c r="B380" s="806" t="s">
        <v>399</v>
      </c>
      <c r="C380" s="807"/>
      <c r="D380" s="807"/>
      <c r="E380" s="807"/>
      <c r="F380" s="808"/>
      <c r="G380" s="688"/>
      <c r="H380" s="431"/>
      <c r="I380" s="718"/>
      <c r="J380" s="718"/>
      <c r="K380" s="718"/>
      <c r="L380" s="718"/>
      <c r="M380" s="718"/>
      <c r="N380" s="718"/>
      <c r="O380" s="718"/>
      <c r="P380" s="718"/>
      <c r="Q380" s="718"/>
      <c r="R380" s="718"/>
      <c r="S380" s="718"/>
      <c r="T380" s="718"/>
      <c r="U380" s="718"/>
      <c r="V380" s="718"/>
      <c r="W380" s="718"/>
      <c r="X380" s="718"/>
      <c r="Y380" s="718"/>
      <c r="Z380" s="718"/>
      <c r="AA380" s="718"/>
      <c r="AB380" s="718"/>
      <c r="AC380" s="718"/>
      <c r="AD380" s="718"/>
      <c r="AE380" s="718"/>
      <c r="AF380" s="718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20"/>
      <c r="AV380" s="120"/>
      <c r="AW380" s="120"/>
      <c r="AX380" s="120"/>
      <c r="AY380" s="120"/>
      <c r="AZ380" s="120"/>
      <c r="BA380" s="120"/>
      <c r="BB380" s="120"/>
      <c r="BC380" s="120"/>
      <c r="BD380" s="120"/>
      <c r="BE380" s="120"/>
      <c r="BF380" s="120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20"/>
      <c r="BS380" s="120"/>
      <c r="BT380" s="120"/>
      <c r="BU380" s="120"/>
      <c r="BV380" s="120"/>
      <c r="BW380" s="120"/>
      <c r="BX380" s="120"/>
      <c r="BY380" s="120"/>
      <c r="BZ380" s="120"/>
      <c r="CA380" s="120"/>
      <c r="CB380" s="120"/>
      <c r="CC380" s="120"/>
      <c r="CD380" s="120"/>
      <c r="CE380" s="120"/>
      <c r="CF380" s="120"/>
      <c r="CG380" s="120"/>
      <c r="CH380" s="120"/>
      <c r="CI380" s="120"/>
      <c r="CJ380" s="120"/>
      <c r="CK380" s="120"/>
      <c r="CL380" s="120"/>
      <c r="CM380" s="120"/>
      <c r="CN380" s="120"/>
      <c r="CO380" s="120"/>
      <c r="CP380" s="120"/>
      <c r="CQ380" s="120"/>
      <c r="CR380" s="120"/>
      <c r="CS380" s="120"/>
      <c r="CT380" s="120"/>
      <c r="CU380" s="120"/>
      <c r="CV380" s="120"/>
      <c r="CW380" s="120"/>
      <c r="CX380" s="120"/>
      <c r="CY380" s="120"/>
      <c r="CZ380" s="120"/>
      <c r="DA380" s="120"/>
      <c r="DB380" s="120"/>
      <c r="DC380" s="120"/>
      <c r="DD380" s="120"/>
      <c r="DE380" s="120"/>
      <c r="DF380" s="120"/>
      <c r="DG380" s="120"/>
      <c r="DH380" s="120"/>
      <c r="DI380" s="120"/>
      <c r="DJ380" s="120"/>
      <c r="DK380" s="120"/>
      <c r="DL380" s="120"/>
      <c r="DM380" s="120"/>
      <c r="DN380" s="120"/>
      <c r="DO380" s="120"/>
      <c r="DP380" s="120"/>
      <c r="DQ380" s="120"/>
      <c r="DR380" s="120"/>
      <c r="DS380" s="120"/>
      <c r="DT380" s="120"/>
      <c r="DU380" s="120"/>
      <c r="DV380" s="120"/>
      <c r="DW380" s="120"/>
      <c r="DX380" s="120"/>
      <c r="DY380" s="120"/>
      <c r="DZ380" s="120"/>
      <c r="EA380" s="120"/>
      <c r="EB380" s="120"/>
      <c r="EC380" s="120"/>
      <c r="ED380" s="120"/>
      <c r="EE380" s="120"/>
      <c r="EF380" s="120"/>
      <c r="EG380" s="120"/>
      <c r="EH380" s="120"/>
      <c r="EI380" s="120"/>
      <c r="EJ380" s="120"/>
      <c r="EK380" s="120"/>
      <c r="EL380" s="120"/>
      <c r="EM380" s="120"/>
      <c r="EN380" s="120"/>
      <c r="EO380" s="120"/>
      <c r="EP380" s="120"/>
      <c r="EQ380" s="120"/>
      <c r="ER380" s="120"/>
      <c r="ES380" s="120"/>
      <c r="ET380" s="120"/>
      <c r="EU380" s="120"/>
      <c r="EV380" s="120"/>
      <c r="EW380" s="120"/>
      <c r="EX380" s="120"/>
      <c r="EY380" s="120"/>
      <c r="EZ380" s="120"/>
      <c r="FA380" s="120"/>
      <c r="FB380" s="120"/>
      <c r="FC380" s="120"/>
      <c r="FD380" s="120"/>
      <c r="FE380" s="120"/>
      <c r="FF380" s="120"/>
      <c r="FG380" s="120"/>
      <c r="FH380" s="120"/>
      <c r="FI380" s="120"/>
      <c r="FJ380" s="120"/>
      <c r="FK380" s="120"/>
      <c r="FL380" s="120"/>
      <c r="FM380" s="120"/>
      <c r="FN380" s="120"/>
      <c r="FO380" s="120"/>
      <c r="FP380" s="120"/>
      <c r="FQ380" s="120"/>
      <c r="FR380" s="120"/>
      <c r="FS380" s="120"/>
      <c r="FT380" s="120"/>
      <c r="FU380" s="120"/>
      <c r="FV380" s="120"/>
      <c r="FW380" s="120"/>
      <c r="FX380" s="120"/>
      <c r="FY380" s="120"/>
      <c r="FZ380" s="120"/>
      <c r="GA380" s="120"/>
      <c r="GB380" s="120"/>
      <c r="GC380" s="120"/>
      <c r="GD380" s="120"/>
      <c r="GE380" s="120"/>
      <c r="GF380" s="120"/>
      <c r="GG380" s="120"/>
      <c r="GH380" s="120"/>
      <c r="GI380" s="120"/>
      <c r="GJ380" s="120"/>
      <c r="GK380" s="120"/>
      <c r="GL380" s="120"/>
      <c r="GM380" s="120"/>
      <c r="GN380" s="120"/>
      <c r="GO380" s="120"/>
      <c r="GP380" s="120"/>
      <c r="GQ380" s="120"/>
      <c r="GR380" s="120"/>
      <c r="GS380" s="120"/>
      <c r="GT380" s="120"/>
      <c r="GU380" s="120"/>
      <c r="GV380" s="120"/>
      <c r="GW380" s="120"/>
      <c r="GX380" s="120"/>
      <c r="GY380" s="120"/>
      <c r="GZ380" s="120"/>
      <c r="HA380" s="120"/>
      <c r="HB380" s="120"/>
      <c r="HC380" s="120"/>
      <c r="HD380" s="120"/>
      <c r="HE380" s="120"/>
      <c r="HF380" s="120"/>
      <c r="HG380" s="120"/>
      <c r="HH380" s="120"/>
      <c r="HI380" s="120"/>
      <c r="HJ380" s="120"/>
      <c r="HK380" s="120"/>
      <c r="HL380" s="120"/>
      <c r="HM380" s="120"/>
      <c r="HN380" s="120"/>
      <c r="HO380" s="120"/>
      <c r="HP380" s="120"/>
      <c r="HQ380" s="120"/>
      <c r="HR380" s="120"/>
      <c r="HS380" s="120"/>
      <c r="HT380" s="120"/>
      <c r="HU380" s="120"/>
      <c r="HV380" s="120"/>
      <c r="HW380" s="120"/>
      <c r="HX380" s="120"/>
      <c r="HY380" s="120"/>
      <c r="HZ380" s="120"/>
      <c r="IA380" s="120"/>
      <c r="IB380" s="120"/>
      <c r="IC380" s="120"/>
      <c r="ID380" s="120"/>
      <c r="IE380" s="120"/>
      <c r="IF380" s="120"/>
      <c r="IG380" s="120"/>
      <c r="IH380" s="120"/>
      <c r="II380" s="120"/>
      <c r="IJ380" s="120"/>
      <c r="IK380" s="120"/>
      <c r="IL380" s="120"/>
      <c r="IM380" s="120"/>
    </row>
    <row r="381" spans="1:247" ht="31.5" x14ac:dyDescent="0.25">
      <c r="B381" s="306" t="s">
        <v>163</v>
      </c>
      <c r="C381" s="50" t="s">
        <v>52</v>
      </c>
      <c r="D381" s="310">
        <v>98.8</v>
      </c>
      <c r="E381" s="310">
        <v>100</v>
      </c>
      <c r="F381" s="64" t="str">
        <f>IF((E381/D381*100)&gt;100,"100",E381/D381*100)</f>
        <v>100</v>
      </c>
      <c r="G381" s="688"/>
      <c r="H381" s="450" t="s">
        <v>1249</v>
      </c>
      <c r="I381" s="718"/>
      <c r="J381" s="718"/>
      <c r="K381" s="718"/>
      <c r="L381" s="718"/>
      <c r="M381" s="718"/>
      <c r="N381" s="718"/>
      <c r="O381" s="718"/>
      <c r="P381" s="718"/>
      <c r="Q381" s="718"/>
      <c r="R381" s="718"/>
      <c r="S381" s="718"/>
      <c r="T381" s="718"/>
      <c r="U381" s="718"/>
      <c r="V381" s="718"/>
      <c r="W381" s="718"/>
      <c r="X381" s="718"/>
      <c r="Y381" s="718"/>
      <c r="Z381" s="718"/>
      <c r="AA381" s="718"/>
      <c r="AB381" s="718"/>
      <c r="AC381" s="718"/>
      <c r="AD381" s="718"/>
      <c r="AE381" s="718"/>
      <c r="AF381" s="718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20"/>
      <c r="AV381" s="120"/>
      <c r="AW381" s="120"/>
      <c r="AX381" s="120"/>
      <c r="AY381" s="120"/>
      <c r="AZ381" s="120"/>
      <c r="BA381" s="120"/>
      <c r="BB381" s="120"/>
      <c r="BC381" s="120"/>
      <c r="BD381" s="120"/>
      <c r="BE381" s="120"/>
      <c r="BF381" s="120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20"/>
      <c r="BS381" s="120"/>
      <c r="BT381" s="120"/>
      <c r="BU381" s="120"/>
      <c r="BV381" s="120"/>
      <c r="BW381" s="120"/>
      <c r="BX381" s="120"/>
      <c r="BY381" s="120"/>
      <c r="BZ381" s="120"/>
      <c r="CA381" s="120"/>
      <c r="CB381" s="120"/>
      <c r="CC381" s="120"/>
      <c r="CD381" s="120"/>
      <c r="CE381" s="120"/>
      <c r="CF381" s="120"/>
      <c r="CG381" s="120"/>
      <c r="CH381" s="120"/>
      <c r="CI381" s="120"/>
      <c r="CJ381" s="120"/>
      <c r="CK381" s="120"/>
      <c r="CL381" s="120"/>
      <c r="CM381" s="120"/>
      <c r="CN381" s="120"/>
      <c r="CO381" s="120"/>
      <c r="CP381" s="120"/>
      <c r="CQ381" s="120"/>
      <c r="CR381" s="120"/>
      <c r="CS381" s="120"/>
      <c r="CT381" s="120"/>
      <c r="CU381" s="120"/>
      <c r="CV381" s="120"/>
      <c r="CW381" s="120"/>
      <c r="CX381" s="120"/>
      <c r="CY381" s="120"/>
      <c r="CZ381" s="120"/>
      <c r="DA381" s="120"/>
      <c r="DB381" s="120"/>
      <c r="DC381" s="120"/>
      <c r="DD381" s="120"/>
      <c r="DE381" s="120"/>
      <c r="DF381" s="120"/>
      <c r="DG381" s="120"/>
      <c r="DH381" s="120"/>
      <c r="DI381" s="120"/>
      <c r="DJ381" s="120"/>
      <c r="DK381" s="120"/>
      <c r="DL381" s="120"/>
      <c r="DM381" s="120"/>
      <c r="DN381" s="120"/>
      <c r="DO381" s="120"/>
      <c r="DP381" s="120"/>
      <c r="DQ381" s="120"/>
      <c r="DR381" s="120"/>
      <c r="DS381" s="120"/>
      <c r="DT381" s="120"/>
      <c r="DU381" s="120"/>
      <c r="DV381" s="120"/>
      <c r="DW381" s="120"/>
      <c r="DX381" s="120"/>
      <c r="DY381" s="120"/>
      <c r="DZ381" s="120"/>
      <c r="EA381" s="120"/>
      <c r="EB381" s="120"/>
      <c r="EC381" s="120"/>
      <c r="ED381" s="120"/>
      <c r="EE381" s="120"/>
      <c r="EF381" s="120"/>
      <c r="EG381" s="120"/>
      <c r="EH381" s="120"/>
      <c r="EI381" s="120"/>
      <c r="EJ381" s="120"/>
      <c r="EK381" s="120"/>
      <c r="EL381" s="120"/>
      <c r="EM381" s="120"/>
      <c r="EN381" s="120"/>
      <c r="EO381" s="120"/>
      <c r="EP381" s="120"/>
      <c r="EQ381" s="120"/>
      <c r="ER381" s="120"/>
      <c r="ES381" s="120"/>
      <c r="ET381" s="120"/>
      <c r="EU381" s="120"/>
      <c r="EV381" s="120"/>
      <c r="EW381" s="120"/>
      <c r="EX381" s="120"/>
      <c r="EY381" s="120"/>
      <c r="EZ381" s="120"/>
      <c r="FA381" s="120"/>
      <c r="FB381" s="120"/>
      <c r="FC381" s="120"/>
      <c r="FD381" s="120"/>
      <c r="FE381" s="120"/>
      <c r="FF381" s="120"/>
      <c r="FG381" s="120"/>
      <c r="FH381" s="120"/>
      <c r="FI381" s="120"/>
      <c r="FJ381" s="120"/>
      <c r="FK381" s="120"/>
      <c r="FL381" s="120"/>
      <c r="FM381" s="120"/>
      <c r="FN381" s="120"/>
      <c r="FO381" s="120"/>
      <c r="FP381" s="120"/>
      <c r="FQ381" s="120"/>
      <c r="FR381" s="120"/>
      <c r="FS381" s="120"/>
      <c r="FT381" s="120"/>
      <c r="FU381" s="120"/>
      <c r="FV381" s="120"/>
      <c r="FW381" s="120"/>
      <c r="FX381" s="120"/>
      <c r="FY381" s="120"/>
      <c r="FZ381" s="120"/>
      <c r="GA381" s="120"/>
      <c r="GB381" s="120"/>
      <c r="GC381" s="120"/>
      <c r="GD381" s="120"/>
      <c r="GE381" s="120"/>
      <c r="GF381" s="120"/>
      <c r="GG381" s="120"/>
      <c r="GH381" s="120"/>
      <c r="GI381" s="120"/>
      <c r="GJ381" s="120"/>
      <c r="GK381" s="120"/>
      <c r="GL381" s="120"/>
      <c r="GM381" s="120"/>
      <c r="GN381" s="120"/>
      <c r="GO381" s="120"/>
      <c r="GP381" s="120"/>
      <c r="GQ381" s="120"/>
      <c r="GR381" s="120"/>
      <c r="GS381" s="120"/>
      <c r="GT381" s="120"/>
      <c r="GU381" s="120"/>
      <c r="GV381" s="120"/>
      <c r="GW381" s="120"/>
      <c r="GX381" s="120"/>
      <c r="GY381" s="120"/>
      <c r="GZ381" s="120"/>
      <c r="HA381" s="120"/>
      <c r="HB381" s="120"/>
      <c r="HC381" s="120"/>
      <c r="HD381" s="120"/>
      <c r="HE381" s="120"/>
      <c r="HF381" s="120"/>
      <c r="HG381" s="120"/>
      <c r="HH381" s="120"/>
      <c r="HI381" s="120"/>
      <c r="HJ381" s="120"/>
      <c r="HK381" s="120"/>
      <c r="HL381" s="120"/>
      <c r="HM381" s="120"/>
      <c r="HN381" s="120"/>
      <c r="HO381" s="120"/>
      <c r="HP381" s="120"/>
      <c r="HQ381" s="120"/>
      <c r="HR381" s="120"/>
      <c r="HS381" s="120"/>
      <c r="HT381" s="120"/>
      <c r="HU381" s="120"/>
      <c r="HV381" s="120"/>
      <c r="HW381" s="120"/>
      <c r="HX381" s="120"/>
      <c r="HY381" s="120"/>
      <c r="HZ381" s="120"/>
      <c r="IA381" s="120"/>
      <c r="IB381" s="120"/>
      <c r="IC381" s="120"/>
      <c r="ID381" s="120"/>
      <c r="IE381" s="120"/>
      <c r="IF381" s="120"/>
      <c r="IG381" s="120"/>
      <c r="IH381" s="120"/>
      <c r="II381" s="120"/>
      <c r="IJ381" s="120"/>
      <c r="IK381" s="120"/>
      <c r="IL381" s="120"/>
      <c r="IM381" s="120"/>
    </row>
    <row r="382" spans="1:247" ht="246" customHeight="1" x14ac:dyDescent="0.25">
      <c r="B382" s="306" t="s">
        <v>164</v>
      </c>
      <c r="C382" s="50" t="s">
        <v>85</v>
      </c>
      <c r="D382" s="309">
        <v>15</v>
      </c>
      <c r="E382" s="309">
        <v>12</v>
      </c>
      <c r="F382" s="64">
        <f>IF((E382/D382*100)&gt;100,"100",E382/D382*100)</f>
        <v>80</v>
      </c>
      <c r="G382" s="688"/>
      <c r="H382" s="450" t="s">
        <v>1251</v>
      </c>
      <c r="I382" s="718"/>
      <c r="J382" s="718"/>
      <c r="K382" s="718"/>
      <c r="L382" s="718"/>
      <c r="M382" s="718"/>
      <c r="N382" s="718"/>
      <c r="O382" s="718"/>
      <c r="P382" s="718"/>
      <c r="Q382" s="718"/>
      <c r="R382" s="718"/>
      <c r="S382" s="718"/>
      <c r="T382" s="718"/>
      <c r="U382" s="718"/>
      <c r="V382" s="718"/>
      <c r="W382" s="718"/>
      <c r="X382" s="718"/>
      <c r="Y382" s="718"/>
      <c r="Z382" s="718"/>
      <c r="AA382" s="718"/>
      <c r="AB382" s="718"/>
      <c r="AC382" s="718"/>
      <c r="AD382" s="718"/>
      <c r="AE382" s="718"/>
      <c r="AF382" s="718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20"/>
      <c r="AV382" s="120"/>
      <c r="AW382" s="120"/>
      <c r="AX382" s="120"/>
      <c r="AY382" s="120"/>
      <c r="AZ382" s="120"/>
      <c r="BA382" s="120"/>
      <c r="BB382" s="120"/>
      <c r="BC382" s="120"/>
      <c r="BD382" s="120"/>
      <c r="BE382" s="120"/>
      <c r="BF382" s="120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20"/>
      <c r="BS382" s="120"/>
      <c r="BT382" s="120"/>
      <c r="BU382" s="120"/>
      <c r="BV382" s="120"/>
      <c r="BW382" s="120"/>
      <c r="BX382" s="120"/>
      <c r="BY382" s="120"/>
      <c r="BZ382" s="120"/>
      <c r="CA382" s="120"/>
      <c r="CB382" s="120"/>
      <c r="CC382" s="120"/>
      <c r="CD382" s="120"/>
      <c r="CE382" s="120"/>
      <c r="CF382" s="120"/>
      <c r="CG382" s="120"/>
      <c r="CH382" s="120"/>
      <c r="CI382" s="120"/>
      <c r="CJ382" s="120"/>
      <c r="CK382" s="120"/>
      <c r="CL382" s="120"/>
      <c r="CM382" s="120"/>
      <c r="CN382" s="120"/>
      <c r="CO382" s="120"/>
      <c r="CP382" s="120"/>
      <c r="CQ382" s="120"/>
      <c r="CR382" s="120"/>
      <c r="CS382" s="120"/>
      <c r="CT382" s="120"/>
      <c r="CU382" s="120"/>
      <c r="CV382" s="120"/>
      <c r="CW382" s="120"/>
      <c r="CX382" s="120"/>
      <c r="CY382" s="120"/>
      <c r="CZ382" s="120"/>
      <c r="DA382" s="120"/>
      <c r="DB382" s="120"/>
      <c r="DC382" s="120"/>
      <c r="DD382" s="120"/>
      <c r="DE382" s="120"/>
      <c r="DF382" s="120"/>
      <c r="DG382" s="120"/>
      <c r="DH382" s="120"/>
      <c r="DI382" s="120"/>
      <c r="DJ382" s="120"/>
      <c r="DK382" s="120"/>
      <c r="DL382" s="120"/>
      <c r="DM382" s="120"/>
      <c r="DN382" s="120"/>
      <c r="DO382" s="120"/>
      <c r="DP382" s="120"/>
      <c r="DQ382" s="120"/>
      <c r="DR382" s="120"/>
      <c r="DS382" s="120"/>
      <c r="DT382" s="120"/>
      <c r="DU382" s="120"/>
      <c r="DV382" s="120"/>
      <c r="DW382" s="120"/>
      <c r="DX382" s="120"/>
      <c r="DY382" s="120"/>
      <c r="DZ382" s="120"/>
      <c r="EA382" s="120"/>
      <c r="EB382" s="120"/>
      <c r="EC382" s="120"/>
      <c r="ED382" s="120"/>
      <c r="EE382" s="120"/>
      <c r="EF382" s="120"/>
      <c r="EG382" s="120"/>
      <c r="EH382" s="120"/>
      <c r="EI382" s="120"/>
      <c r="EJ382" s="120"/>
      <c r="EK382" s="120"/>
      <c r="EL382" s="120"/>
      <c r="EM382" s="120"/>
      <c r="EN382" s="120"/>
      <c r="EO382" s="120"/>
      <c r="EP382" s="120"/>
      <c r="EQ382" s="120"/>
      <c r="ER382" s="120"/>
      <c r="ES382" s="120"/>
      <c r="ET382" s="120"/>
      <c r="EU382" s="120"/>
      <c r="EV382" s="120"/>
      <c r="EW382" s="120"/>
      <c r="EX382" s="120"/>
      <c r="EY382" s="120"/>
      <c r="EZ382" s="120"/>
      <c r="FA382" s="120"/>
      <c r="FB382" s="120"/>
      <c r="FC382" s="120"/>
      <c r="FD382" s="120"/>
      <c r="FE382" s="120"/>
      <c r="FF382" s="120"/>
      <c r="FG382" s="120"/>
      <c r="FH382" s="120"/>
      <c r="FI382" s="120"/>
      <c r="FJ382" s="120"/>
      <c r="FK382" s="120"/>
      <c r="FL382" s="120"/>
      <c r="FM382" s="120"/>
      <c r="FN382" s="120"/>
      <c r="FO382" s="120"/>
      <c r="FP382" s="120"/>
      <c r="FQ382" s="120"/>
      <c r="FR382" s="120"/>
      <c r="FS382" s="120"/>
      <c r="FT382" s="120"/>
      <c r="FU382" s="120"/>
      <c r="FV382" s="120"/>
      <c r="FW382" s="120"/>
      <c r="FX382" s="120"/>
      <c r="FY382" s="120"/>
      <c r="FZ382" s="120"/>
      <c r="GA382" s="120"/>
      <c r="GB382" s="120"/>
      <c r="GC382" s="120"/>
      <c r="GD382" s="120"/>
      <c r="GE382" s="120"/>
      <c r="GF382" s="120"/>
      <c r="GG382" s="120"/>
      <c r="GH382" s="120"/>
      <c r="GI382" s="120"/>
      <c r="GJ382" s="120"/>
      <c r="GK382" s="120"/>
      <c r="GL382" s="120"/>
      <c r="GM382" s="120"/>
      <c r="GN382" s="120"/>
      <c r="GO382" s="120"/>
      <c r="GP382" s="120"/>
      <c r="GQ382" s="120"/>
      <c r="GR382" s="120"/>
      <c r="GS382" s="120"/>
      <c r="GT382" s="120"/>
      <c r="GU382" s="120"/>
      <c r="GV382" s="120"/>
      <c r="GW382" s="120"/>
      <c r="GX382" s="120"/>
      <c r="GY382" s="120"/>
      <c r="GZ382" s="120"/>
      <c r="HA382" s="120"/>
      <c r="HB382" s="120"/>
      <c r="HC382" s="120"/>
      <c r="HD382" s="120"/>
      <c r="HE382" s="120"/>
      <c r="HF382" s="120"/>
      <c r="HG382" s="120"/>
      <c r="HH382" s="120"/>
      <c r="HI382" s="120"/>
      <c r="HJ382" s="120"/>
      <c r="HK382" s="120"/>
      <c r="HL382" s="120"/>
      <c r="HM382" s="120"/>
      <c r="HN382" s="120"/>
      <c r="HO382" s="120"/>
      <c r="HP382" s="120"/>
      <c r="HQ382" s="120"/>
      <c r="HR382" s="120"/>
      <c r="HS382" s="120"/>
      <c r="HT382" s="120"/>
      <c r="HU382" s="120"/>
      <c r="HV382" s="120"/>
      <c r="HW382" s="120"/>
      <c r="HX382" s="120"/>
      <c r="HY382" s="120"/>
      <c r="HZ382" s="120"/>
      <c r="IA382" s="120"/>
      <c r="IB382" s="120"/>
      <c r="IC382" s="120"/>
      <c r="ID382" s="120"/>
      <c r="IE382" s="120"/>
      <c r="IF382" s="120"/>
      <c r="IG382" s="120"/>
      <c r="IH382" s="120"/>
      <c r="II382" s="120"/>
      <c r="IJ382" s="120"/>
      <c r="IK382" s="120"/>
      <c r="IL382" s="120"/>
      <c r="IM382" s="120"/>
    </row>
    <row r="383" spans="1:247" ht="84.75" customHeight="1" x14ac:dyDescent="0.25">
      <c r="B383" s="306" t="s">
        <v>165</v>
      </c>
      <c r="C383" s="50" t="s">
        <v>66</v>
      </c>
      <c r="D383" s="309">
        <v>0</v>
      </c>
      <c r="E383" s="111">
        <v>1</v>
      </c>
      <c r="F383" s="64">
        <v>100</v>
      </c>
      <c r="G383" s="688"/>
      <c r="H383" s="455" t="s">
        <v>1250</v>
      </c>
      <c r="I383" s="718"/>
      <c r="J383" s="718"/>
      <c r="K383" s="718"/>
      <c r="L383" s="718"/>
      <c r="M383" s="718"/>
      <c r="N383" s="718"/>
      <c r="O383" s="718"/>
      <c r="P383" s="718"/>
      <c r="Q383" s="718"/>
      <c r="R383" s="718"/>
      <c r="S383" s="718"/>
      <c r="T383" s="718"/>
      <c r="U383" s="718"/>
      <c r="V383" s="718"/>
      <c r="W383" s="718"/>
      <c r="X383" s="718"/>
      <c r="Y383" s="718"/>
      <c r="Z383" s="718"/>
      <c r="AA383" s="718"/>
      <c r="AB383" s="718"/>
      <c r="AC383" s="718"/>
      <c r="AD383" s="718"/>
      <c r="AE383" s="718"/>
      <c r="AF383" s="718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20"/>
      <c r="AV383" s="120"/>
      <c r="AW383" s="120"/>
      <c r="AX383" s="120"/>
      <c r="AY383" s="120"/>
      <c r="AZ383" s="120"/>
      <c r="BA383" s="120"/>
      <c r="BB383" s="120"/>
      <c r="BC383" s="120"/>
      <c r="BD383" s="120"/>
      <c r="BE383" s="120"/>
      <c r="BF383" s="120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20"/>
      <c r="BS383" s="120"/>
      <c r="BT383" s="120"/>
      <c r="BU383" s="120"/>
      <c r="BV383" s="120"/>
      <c r="BW383" s="120"/>
      <c r="BX383" s="120"/>
      <c r="BY383" s="120"/>
      <c r="BZ383" s="120"/>
      <c r="CA383" s="120"/>
      <c r="CB383" s="120"/>
      <c r="CC383" s="120"/>
      <c r="CD383" s="120"/>
      <c r="CE383" s="120"/>
      <c r="CF383" s="120"/>
      <c r="CG383" s="120"/>
      <c r="CH383" s="120"/>
      <c r="CI383" s="120"/>
      <c r="CJ383" s="120"/>
      <c r="CK383" s="120"/>
      <c r="CL383" s="120"/>
      <c r="CM383" s="120"/>
      <c r="CN383" s="120"/>
      <c r="CO383" s="120"/>
      <c r="CP383" s="120"/>
      <c r="CQ383" s="120"/>
      <c r="CR383" s="120"/>
      <c r="CS383" s="120"/>
      <c r="CT383" s="120"/>
      <c r="CU383" s="120"/>
      <c r="CV383" s="120"/>
      <c r="CW383" s="120"/>
      <c r="CX383" s="120"/>
      <c r="CY383" s="120"/>
      <c r="CZ383" s="120"/>
      <c r="DA383" s="120"/>
      <c r="DB383" s="120"/>
      <c r="DC383" s="120"/>
      <c r="DD383" s="120"/>
      <c r="DE383" s="120"/>
      <c r="DF383" s="120"/>
      <c r="DG383" s="120"/>
      <c r="DH383" s="120"/>
      <c r="DI383" s="120"/>
      <c r="DJ383" s="120"/>
      <c r="DK383" s="120"/>
      <c r="DL383" s="120"/>
      <c r="DM383" s="120"/>
      <c r="DN383" s="120"/>
      <c r="DO383" s="120"/>
      <c r="DP383" s="120"/>
      <c r="DQ383" s="120"/>
      <c r="DR383" s="120"/>
      <c r="DS383" s="120"/>
      <c r="DT383" s="120"/>
      <c r="DU383" s="120"/>
      <c r="DV383" s="120"/>
      <c r="DW383" s="120"/>
      <c r="DX383" s="120"/>
      <c r="DY383" s="120"/>
      <c r="DZ383" s="120"/>
      <c r="EA383" s="120"/>
      <c r="EB383" s="120"/>
      <c r="EC383" s="120"/>
      <c r="ED383" s="120"/>
      <c r="EE383" s="120"/>
      <c r="EF383" s="120"/>
      <c r="EG383" s="120"/>
      <c r="EH383" s="120"/>
      <c r="EI383" s="120"/>
      <c r="EJ383" s="120"/>
      <c r="EK383" s="120"/>
      <c r="EL383" s="120"/>
      <c r="EM383" s="120"/>
      <c r="EN383" s="120"/>
      <c r="EO383" s="120"/>
      <c r="EP383" s="120"/>
      <c r="EQ383" s="120"/>
      <c r="ER383" s="120"/>
      <c r="ES383" s="120"/>
      <c r="ET383" s="120"/>
      <c r="EU383" s="120"/>
      <c r="EV383" s="120"/>
      <c r="EW383" s="120"/>
      <c r="EX383" s="120"/>
      <c r="EY383" s="120"/>
      <c r="EZ383" s="120"/>
      <c r="FA383" s="120"/>
      <c r="FB383" s="120"/>
      <c r="FC383" s="120"/>
      <c r="FD383" s="120"/>
      <c r="FE383" s="120"/>
      <c r="FF383" s="120"/>
      <c r="FG383" s="120"/>
      <c r="FH383" s="120"/>
      <c r="FI383" s="120"/>
      <c r="FJ383" s="120"/>
      <c r="FK383" s="120"/>
      <c r="FL383" s="120"/>
      <c r="FM383" s="120"/>
      <c r="FN383" s="120"/>
      <c r="FO383" s="120"/>
      <c r="FP383" s="120"/>
      <c r="FQ383" s="120"/>
      <c r="FR383" s="120"/>
      <c r="FS383" s="120"/>
      <c r="FT383" s="120"/>
      <c r="FU383" s="120"/>
      <c r="FV383" s="120"/>
      <c r="FW383" s="120"/>
      <c r="FX383" s="120"/>
      <c r="FY383" s="120"/>
      <c r="FZ383" s="120"/>
      <c r="GA383" s="120"/>
      <c r="GB383" s="120"/>
      <c r="GC383" s="120"/>
      <c r="GD383" s="120"/>
      <c r="GE383" s="120"/>
      <c r="GF383" s="120"/>
      <c r="GG383" s="120"/>
      <c r="GH383" s="120"/>
      <c r="GI383" s="120"/>
      <c r="GJ383" s="120"/>
      <c r="GK383" s="120"/>
      <c r="GL383" s="120"/>
      <c r="GM383" s="120"/>
      <c r="GN383" s="120"/>
      <c r="GO383" s="120"/>
      <c r="GP383" s="120"/>
      <c r="GQ383" s="120"/>
      <c r="GR383" s="120"/>
      <c r="GS383" s="120"/>
      <c r="GT383" s="120"/>
      <c r="GU383" s="120"/>
      <c r="GV383" s="120"/>
      <c r="GW383" s="120"/>
      <c r="GX383" s="120"/>
      <c r="GY383" s="120"/>
      <c r="GZ383" s="120"/>
      <c r="HA383" s="120"/>
      <c r="HB383" s="120"/>
      <c r="HC383" s="120"/>
      <c r="HD383" s="120"/>
      <c r="HE383" s="120"/>
      <c r="HF383" s="120"/>
      <c r="HG383" s="120"/>
      <c r="HH383" s="120"/>
      <c r="HI383" s="120"/>
      <c r="HJ383" s="120"/>
      <c r="HK383" s="120"/>
      <c r="HL383" s="120"/>
      <c r="HM383" s="120"/>
      <c r="HN383" s="120"/>
      <c r="HO383" s="120"/>
      <c r="HP383" s="120"/>
      <c r="HQ383" s="120"/>
      <c r="HR383" s="120"/>
      <c r="HS383" s="120"/>
      <c r="HT383" s="120"/>
      <c r="HU383" s="120"/>
      <c r="HV383" s="120"/>
      <c r="HW383" s="120"/>
      <c r="HX383" s="120"/>
      <c r="HY383" s="120"/>
      <c r="HZ383" s="120"/>
      <c r="IA383" s="120"/>
      <c r="IB383" s="120"/>
      <c r="IC383" s="120"/>
      <c r="ID383" s="120"/>
      <c r="IE383" s="120"/>
      <c r="IF383" s="120"/>
      <c r="IG383" s="120"/>
      <c r="IH383" s="120"/>
      <c r="II383" s="120"/>
      <c r="IJ383" s="120"/>
      <c r="IK383" s="120"/>
      <c r="IL383" s="120"/>
      <c r="IM383" s="120"/>
    </row>
    <row r="384" spans="1:247" s="37" customFormat="1" x14ac:dyDescent="0.25">
      <c r="A384" s="137"/>
      <c r="B384" s="809" t="s">
        <v>400</v>
      </c>
      <c r="C384" s="810"/>
      <c r="D384" s="810"/>
      <c r="E384" s="810"/>
      <c r="F384" s="811"/>
      <c r="G384" s="703"/>
      <c r="H384" s="719"/>
      <c r="I384" s="720"/>
      <c r="J384" s="720"/>
      <c r="K384" s="720"/>
      <c r="L384" s="720"/>
      <c r="M384" s="720"/>
      <c r="N384" s="720"/>
      <c r="O384" s="720"/>
      <c r="P384" s="720"/>
      <c r="Q384" s="720"/>
      <c r="R384" s="720"/>
      <c r="S384" s="720"/>
      <c r="T384" s="720"/>
      <c r="U384" s="720"/>
      <c r="V384" s="720"/>
      <c r="W384" s="720"/>
      <c r="X384" s="720"/>
      <c r="Y384" s="720"/>
      <c r="Z384" s="720"/>
      <c r="AA384" s="720"/>
      <c r="AB384" s="720"/>
      <c r="AC384" s="720"/>
      <c r="AD384" s="720"/>
      <c r="AE384" s="720"/>
      <c r="AF384" s="720"/>
      <c r="AG384" s="138"/>
      <c r="AH384" s="138"/>
      <c r="AI384" s="138"/>
      <c r="AJ384" s="138"/>
      <c r="AK384" s="138"/>
      <c r="AL384" s="138"/>
      <c r="AM384" s="138"/>
      <c r="AN384" s="138"/>
      <c r="AO384" s="138"/>
      <c r="AP384" s="138"/>
      <c r="AQ384" s="138"/>
      <c r="AR384" s="138"/>
      <c r="AS384" s="138"/>
      <c r="AT384" s="138"/>
      <c r="AU384" s="138"/>
      <c r="AV384" s="138"/>
      <c r="AW384" s="138"/>
      <c r="AX384" s="138"/>
      <c r="AY384" s="138"/>
      <c r="AZ384" s="138"/>
      <c r="BA384" s="138"/>
      <c r="BB384" s="138"/>
      <c r="BC384" s="138"/>
      <c r="BD384" s="138"/>
      <c r="BE384" s="138"/>
      <c r="BF384" s="138"/>
      <c r="BG384" s="138"/>
      <c r="BH384" s="138"/>
      <c r="BI384" s="138"/>
      <c r="BJ384" s="138"/>
      <c r="BK384" s="138"/>
      <c r="BL384" s="138"/>
      <c r="BM384" s="138"/>
      <c r="BN384" s="138"/>
      <c r="BO384" s="138"/>
      <c r="BP384" s="138"/>
      <c r="BQ384" s="138"/>
      <c r="BR384" s="138"/>
      <c r="BS384" s="138"/>
      <c r="BT384" s="138"/>
      <c r="BU384" s="138"/>
      <c r="BV384" s="138"/>
      <c r="BW384" s="138"/>
      <c r="BX384" s="138"/>
      <c r="BY384" s="138"/>
      <c r="BZ384" s="138"/>
      <c r="CA384" s="138"/>
      <c r="CB384" s="138"/>
      <c r="CC384" s="138"/>
      <c r="CD384" s="138"/>
      <c r="CE384" s="138"/>
      <c r="CF384" s="138"/>
      <c r="CG384" s="138"/>
      <c r="CH384" s="138"/>
      <c r="CI384" s="138"/>
      <c r="CJ384" s="138"/>
      <c r="CK384" s="138"/>
      <c r="CL384" s="138"/>
      <c r="CM384" s="138"/>
      <c r="CN384" s="138"/>
      <c r="CO384" s="138"/>
      <c r="CP384" s="138"/>
      <c r="CQ384" s="138"/>
      <c r="CR384" s="138"/>
      <c r="CS384" s="138"/>
      <c r="CT384" s="138"/>
      <c r="CU384" s="138"/>
      <c r="CV384" s="138"/>
      <c r="CW384" s="138"/>
      <c r="CX384" s="138"/>
      <c r="CY384" s="138"/>
      <c r="CZ384" s="138"/>
      <c r="DA384" s="138"/>
      <c r="DB384" s="138"/>
      <c r="DC384" s="138"/>
      <c r="DD384" s="138"/>
      <c r="DE384" s="138"/>
      <c r="DF384" s="138"/>
      <c r="DG384" s="138"/>
      <c r="DH384" s="138"/>
      <c r="DI384" s="138"/>
      <c r="DJ384" s="138"/>
      <c r="DK384" s="138"/>
      <c r="DL384" s="138"/>
      <c r="DM384" s="138"/>
      <c r="DN384" s="138"/>
      <c r="DO384" s="138"/>
      <c r="DP384" s="138"/>
      <c r="DQ384" s="138"/>
      <c r="DR384" s="138"/>
      <c r="DS384" s="138"/>
      <c r="DT384" s="138"/>
      <c r="DU384" s="138"/>
      <c r="DV384" s="138"/>
      <c r="DW384" s="138"/>
      <c r="DX384" s="138"/>
      <c r="DY384" s="138"/>
      <c r="DZ384" s="138"/>
      <c r="EA384" s="138"/>
      <c r="EB384" s="138"/>
      <c r="EC384" s="138"/>
      <c r="ED384" s="138"/>
      <c r="EE384" s="138"/>
      <c r="EF384" s="138"/>
      <c r="EG384" s="138"/>
      <c r="EH384" s="138"/>
      <c r="EI384" s="138"/>
      <c r="EJ384" s="138"/>
      <c r="EK384" s="138"/>
      <c r="EL384" s="138"/>
      <c r="EM384" s="138"/>
      <c r="EN384" s="138"/>
      <c r="EO384" s="138"/>
      <c r="EP384" s="138"/>
      <c r="EQ384" s="138"/>
      <c r="ER384" s="138"/>
      <c r="ES384" s="138"/>
      <c r="ET384" s="138"/>
      <c r="EU384" s="138"/>
      <c r="EV384" s="138"/>
      <c r="EW384" s="138"/>
      <c r="EX384" s="138"/>
      <c r="EY384" s="138"/>
      <c r="EZ384" s="138"/>
      <c r="FA384" s="138"/>
      <c r="FB384" s="138"/>
      <c r="FC384" s="138"/>
      <c r="FD384" s="138"/>
      <c r="FE384" s="138"/>
      <c r="FF384" s="138"/>
      <c r="FG384" s="138"/>
      <c r="FH384" s="138"/>
      <c r="FI384" s="138"/>
      <c r="FJ384" s="138"/>
      <c r="FK384" s="138"/>
      <c r="FL384" s="138"/>
      <c r="FM384" s="138"/>
      <c r="FN384" s="138"/>
      <c r="FO384" s="138"/>
      <c r="FP384" s="138"/>
      <c r="FQ384" s="138"/>
      <c r="FR384" s="138"/>
      <c r="FS384" s="138"/>
      <c r="FT384" s="138"/>
      <c r="FU384" s="138"/>
      <c r="FV384" s="138"/>
      <c r="FW384" s="138"/>
      <c r="FX384" s="138"/>
      <c r="FY384" s="138"/>
      <c r="FZ384" s="138"/>
      <c r="GA384" s="138"/>
      <c r="GB384" s="138"/>
      <c r="GC384" s="138"/>
      <c r="GD384" s="138"/>
      <c r="GE384" s="138"/>
      <c r="GF384" s="138"/>
      <c r="GG384" s="138"/>
      <c r="GH384" s="138"/>
      <c r="GI384" s="138"/>
      <c r="GJ384" s="138"/>
      <c r="GK384" s="138"/>
      <c r="GL384" s="138"/>
      <c r="GM384" s="138"/>
      <c r="GN384" s="138"/>
      <c r="GO384" s="138"/>
      <c r="GP384" s="138"/>
      <c r="GQ384" s="138"/>
      <c r="GR384" s="138"/>
      <c r="GS384" s="138"/>
      <c r="GT384" s="138"/>
      <c r="GU384" s="138"/>
      <c r="GV384" s="138"/>
      <c r="GW384" s="138"/>
      <c r="GX384" s="138"/>
      <c r="GY384" s="138"/>
      <c r="GZ384" s="138"/>
      <c r="HA384" s="138"/>
      <c r="HB384" s="138"/>
      <c r="HC384" s="138"/>
      <c r="HD384" s="138"/>
      <c r="HE384" s="138"/>
      <c r="HF384" s="138"/>
      <c r="HG384" s="138"/>
      <c r="HH384" s="138"/>
      <c r="HI384" s="138"/>
      <c r="HJ384" s="138"/>
      <c r="HK384" s="138"/>
      <c r="HL384" s="138"/>
      <c r="HM384" s="138"/>
      <c r="HN384" s="138"/>
      <c r="HO384" s="138"/>
      <c r="HP384" s="138"/>
      <c r="HQ384" s="138"/>
      <c r="HR384" s="138"/>
      <c r="HS384" s="138"/>
      <c r="HT384" s="138"/>
      <c r="HU384" s="138"/>
      <c r="HV384" s="138"/>
      <c r="HW384" s="138"/>
      <c r="HX384" s="138"/>
      <c r="HY384" s="138"/>
      <c r="HZ384" s="138"/>
      <c r="IA384" s="138"/>
      <c r="IB384" s="138"/>
      <c r="IC384" s="138"/>
      <c r="ID384" s="138"/>
      <c r="IE384" s="138"/>
      <c r="IF384" s="138"/>
      <c r="IG384" s="138"/>
      <c r="IH384" s="138"/>
      <c r="II384" s="138"/>
      <c r="IJ384" s="138"/>
      <c r="IK384" s="138"/>
      <c r="IL384" s="138"/>
      <c r="IM384" s="138"/>
    </row>
    <row r="385" spans="1:247" x14ac:dyDescent="0.25">
      <c r="B385" s="806" t="s">
        <v>401</v>
      </c>
      <c r="C385" s="807"/>
      <c r="D385" s="807"/>
      <c r="E385" s="807"/>
      <c r="F385" s="808"/>
      <c r="G385" s="688"/>
      <c r="H385" s="431"/>
      <c r="I385" s="718"/>
      <c r="J385" s="718"/>
      <c r="K385" s="718"/>
      <c r="L385" s="718"/>
      <c r="M385" s="718"/>
      <c r="N385" s="718"/>
      <c r="O385" s="718"/>
      <c r="P385" s="718"/>
      <c r="Q385" s="718"/>
      <c r="R385" s="718"/>
      <c r="S385" s="718"/>
      <c r="T385" s="718"/>
      <c r="U385" s="718"/>
      <c r="V385" s="718"/>
      <c r="W385" s="718"/>
      <c r="X385" s="718"/>
      <c r="Y385" s="718"/>
      <c r="Z385" s="718"/>
      <c r="AA385" s="718"/>
      <c r="AB385" s="718"/>
      <c r="AC385" s="718"/>
      <c r="AD385" s="718"/>
      <c r="AE385" s="718"/>
      <c r="AF385" s="718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20"/>
      <c r="AV385" s="120"/>
      <c r="AW385" s="120"/>
      <c r="AX385" s="120"/>
      <c r="AY385" s="120"/>
      <c r="AZ385" s="120"/>
      <c r="BA385" s="120"/>
      <c r="BB385" s="120"/>
      <c r="BC385" s="120"/>
      <c r="BD385" s="120"/>
      <c r="BE385" s="120"/>
      <c r="BF385" s="120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20"/>
      <c r="BS385" s="120"/>
      <c r="BT385" s="120"/>
      <c r="BU385" s="120"/>
      <c r="BV385" s="120"/>
      <c r="BW385" s="120"/>
      <c r="BX385" s="120"/>
      <c r="BY385" s="120"/>
      <c r="BZ385" s="120"/>
      <c r="CA385" s="120"/>
      <c r="CB385" s="120"/>
      <c r="CC385" s="120"/>
      <c r="CD385" s="120"/>
      <c r="CE385" s="120"/>
      <c r="CF385" s="120"/>
      <c r="CG385" s="120"/>
      <c r="CH385" s="120"/>
      <c r="CI385" s="120"/>
      <c r="CJ385" s="120"/>
      <c r="CK385" s="120"/>
      <c r="CL385" s="120"/>
      <c r="CM385" s="120"/>
      <c r="CN385" s="120"/>
      <c r="CO385" s="120"/>
      <c r="CP385" s="120"/>
      <c r="CQ385" s="120"/>
      <c r="CR385" s="120"/>
      <c r="CS385" s="120"/>
      <c r="CT385" s="120"/>
      <c r="CU385" s="120"/>
      <c r="CV385" s="120"/>
      <c r="CW385" s="120"/>
      <c r="CX385" s="120"/>
      <c r="CY385" s="120"/>
      <c r="CZ385" s="120"/>
      <c r="DA385" s="120"/>
      <c r="DB385" s="120"/>
      <c r="DC385" s="120"/>
      <c r="DD385" s="120"/>
      <c r="DE385" s="120"/>
      <c r="DF385" s="120"/>
      <c r="DG385" s="120"/>
      <c r="DH385" s="120"/>
      <c r="DI385" s="120"/>
      <c r="DJ385" s="120"/>
      <c r="DK385" s="120"/>
      <c r="DL385" s="120"/>
      <c r="DM385" s="120"/>
      <c r="DN385" s="120"/>
      <c r="DO385" s="120"/>
      <c r="DP385" s="120"/>
      <c r="DQ385" s="120"/>
      <c r="DR385" s="120"/>
      <c r="DS385" s="120"/>
      <c r="DT385" s="120"/>
      <c r="DU385" s="120"/>
      <c r="DV385" s="120"/>
      <c r="DW385" s="120"/>
      <c r="DX385" s="120"/>
      <c r="DY385" s="120"/>
      <c r="DZ385" s="120"/>
      <c r="EA385" s="120"/>
      <c r="EB385" s="120"/>
      <c r="EC385" s="120"/>
      <c r="ED385" s="120"/>
      <c r="EE385" s="120"/>
      <c r="EF385" s="120"/>
      <c r="EG385" s="120"/>
      <c r="EH385" s="120"/>
      <c r="EI385" s="120"/>
      <c r="EJ385" s="120"/>
      <c r="EK385" s="120"/>
      <c r="EL385" s="120"/>
      <c r="EM385" s="120"/>
      <c r="EN385" s="120"/>
      <c r="EO385" s="120"/>
      <c r="EP385" s="120"/>
      <c r="EQ385" s="120"/>
      <c r="ER385" s="120"/>
      <c r="ES385" s="120"/>
      <c r="ET385" s="120"/>
      <c r="EU385" s="120"/>
      <c r="EV385" s="120"/>
      <c r="EW385" s="120"/>
      <c r="EX385" s="120"/>
      <c r="EY385" s="120"/>
      <c r="EZ385" s="120"/>
      <c r="FA385" s="120"/>
      <c r="FB385" s="120"/>
      <c r="FC385" s="120"/>
      <c r="FD385" s="120"/>
      <c r="FE385" s="120"/>
      <c r="FF385" s="120"/>
      <c r="FG385" s="120"/>
      <c r="FH385" s="120"/>
      <c r="FI385" s="120"/>
      <c r="FJ385" s="120"/>
      <c r="FK385" s="120"/>
      <c r="FL385" s="120"/>
      <c r="FM385" s="120"/>
      <c r="FN385" s="120"/>
      <c r="FO385" s="120"/>
      <c r="FP385" s="120"/>
      <c r="FQ385" s="120"/>
      <c r="FR385" s="120"/>
      <c r="FS385" s="120"/>
      <c r="FT385" s="120"/>
      <c r="FU385" s="120"/>
      <c r="FV385" s="120"/>
      <c r="FW385" s="120"/>
      <c r="FX385" s="120"/>
      <c r="FY385" s="120"/>
      <c r="FZ385" s="120"/>
      <c r="GA385" s="120"/>
      <c r="GB385" s="120"/>
      <c r="GC385" s="120"/>
      <c r="GD385" s="120"/>
      <c r="GE385" s="120"/>
      <c r="GF385" s="120"/>
      <c r="GG385" s="120"/>
      <c r="GH385" s="120"/>
      <c r="GI385" s="120"/>
      <c r="GJ385" s="120"/>
      <c r="GK385" s="120"/>
      <c r="GL385" s="120"/>
      <c r="GM385" s="120"/>
      <c r="GN385" s="120"/>
      <c r="GO385" s="120"/>
      <c r="GP385" s="120"/>
      <c r="GQ385" s="120"/>
      <c r="GR385" s="120"/>
      <c r="GS385" s="120"/>
      <c r="GT385" s="120"/>
      <c r="GU385" s="120"/>
      <c r="GV385" s="120"/>
      <c r="GW385" s="120"/>
      <c r="GX385" s="120"/>
      <c r="GY385" s="120"/>
      <c r="GZ385" s="120"/>
      <c r="HA385" s="120"/>
      <c r="HB385" s="120"/>
      <c r="HC385" s="120"/>
      <c r="HD385" s="120"/>
      <c r="HE385" s="120"/>
      <c r="HF385" s="120"/>
      <c r="HG385" s="120"/>
      <c r="HH385" s="120"/>
      <c r="HI385" s="120"/>
      <c r="HJ385" s="120"/>
      <c r="HK385" s="120"/>
      <c r="HL385" s="120"/>
      <c r="HM385" s="120"/>
      <c r="HN385" s="120"/>
      <c r="HO385" s="120"/>
      <c r="HP385" s="120"/>
      <c r="HQ385" s="120"/>
      <c r="HR385" s="120"/>
      <c r="HS385" s="120"/>
      <c r="HT385" s="120"/>
      <c r="HU385" s="120"/>
      <c r="HV385" s="120"/>
      <c r="HW385" s="120"/>
      <c r="HX385" s="120"/>
      <c r="HY385" s="120"/>
      <c r="HZ385" s="120"/>
      <c r="IA385" s="120"/>
      <c r="IB385" s="120"/>
      <c r="IC385" s="120"/>
      <c r="ID385" s="120"/>
      <c r="IE385" s="120"/>
      <c r="IF385" s="120"/>
      <c r="IG385" s="120"/>
      <c r="IH385" s="120"/>
      <c r="II385" s="120"/>
      <c r="IJ385" s="120"/>
      <c r="IK385" s="120"/>
      <c r="IL385" s="120"/>
      <c r="IM385" s="120"/>
    </row>
    <row r="386" spans="1:247" ht="81" customHeight="1" x14ac:dyDescent="0.25">
      <c r="B386" s="302" t="s">
        <v>166</v>
      </c>
      <c r="C386" s="50" t="s">
        <v>52</v>
      </c>
      <c r="D386" s="374">
        <v>72</v>
      </c>
      <c r="E386" s="451">
        <f>630/2260*100</f>
        <v>27.876106194690266</v>
      </c>
      <c r="F386" s="64">
        <f>IF((E386/D386*100)&gt;100,"100",E386/D386*100)</f>
        <v>38.716814159292035</v>
      </c>
      <c r="G386" s="688"/>
      <c r="H386" s="421" t="s">
        <v>1252</v>
      </c>
      <c r="I386" s="718"/>
      <c r="J386" s="718"/>
      <c r="K386" s="718"/>
      <c r="L386" s="718"/>
      <c r="M386" s="718"/>
      <c r="N386" s="718"/>
      <c r="O386" s="718"/>
      <c r="P386" s="718"/>
      <c r="Q386" s="718"/>
      <c r="R386" s="718"/>
      <c r="S386" s="718"/>
      <c r="T386" s="718"/>
      <c r="U386" s="718"/>
      <c r="V386" s="718"/>
      <c r="W386" s="718"/>
      <c r="X386" s="718"/>
      <c r="Y386" s="718"/>
      <c r="Z386" s="718"/>
      <c r="AA386" s="718"/>
      <c r="AB386" s="718"/>
      <c r="AC386" s="718"/>
      <c r="AD386" s="718"/>
      <c r="AE386" s="718"/>
      <c r="AF386" s="718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20"/>
      <c r="AV386" s="120"/>
      <c r="AW386" s="120"/>
      <c r="AX386" s="120"/>
      <c r="AY386" s="120"/>
      <c r="AZ386" s="120"/>
      <c r="BA386" s="120"/>
      <c r="BB386" s="120"/>
      <c r="BC386" s="120"/>
      <c r="BD386" s="120"/>
      <c r="BE386" s="120"/>
      <c r="BF386" s="120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20"/>
      <c r="BS386" s="120"/>
      <c r="BT386" s="120"/>
      <c r="BU386" s="120"/>
      <c r="BV386" s="120"/>
      <c r="BW386" s="120"/>
      <c r="BX386" s="120"/>
      <c r="BY386" s="120"/>
      <c r="BZ386" s="120"/>
      <c r="CA386" s="120"/>
      <c r="CB386" s="120"/>
      <c r="CC386" s="120"/>
      <c r="CD386" s="120"/>
      <c r="CE386" s="120"/>
      <c r="CF386" s="120"/>
      <c r="CG386" s="120"/>
      <c r="CH386" s="120"/>
      <c r="CI386" s="120"/>
      <c r="CJ386" s="120"/>
      <c r="CK386" s="120"/>
      <c r="CL386" s="120"/>
      <c r="CM386" s="120"/>
      <c r="CN386" s="120"/>
      <c r="CO386" s="120"/>
      <c r="CP386" s="120"/>
      <c r="CQ386" s="120"/>
      <c r="CR386" s="120"/>
      <c r="CS386" s="120"/>
      <c r="CT386" s="120"/>
      <c r="CU386" s="120"/>
      <c r="CV386" s="120"/>
      <c r="CW386" s="120"/>
      <c r="CX386" s="120"/>
      <c r="CY386" s="120"/>
      <c r="CZ386" s="120"/>
      <c r="DA386" s="120"/>
      <c r="DB386" s="120"/>
      <c r="DC386" s="120"/>
      <c r="DD386" s="120"/>
      <c r="DE386" s="120"/>
      <c r="DF386" s="120"/>
      <c r="DG386" s="120"/>
      <c r="DH386" s="120"/>
      <c r="DI386" s="120"/>
      <c r="DJ386" s="120"/>
      <c r="DK386" s="120"/>
      <c r="DL386" s="120"/>
      <c r="DM386" s="120"/>
      <c r="DN386" s="120"/>
      <c r="DO386" s="120"/>
      <c r="DP386" s="120"/>
      <c r="DQ386" s="120"/>
      <c r="DR386" s="120"/>
      <c r="DS386" s="120"/>
      <c r="DT386" s="120"/>
      <c r="DU386" s="120"/>
      <c r="DV386" s="120"/>
      <c r="DW386" s="120"/>
      <c r="DX386" s="120"/>
      <c r="DY386" s="120"/>
      <c r="DZ386" s="120"/>
      <c r="EA386" s="120"/>
      <c r="EB386" s="120"/>
      <c r="EC386" s="120"/>
      <c r="ED386" s="120"/>
      <c r="EE386" s="120"/>
      <c r="EF386" s="120"/>
      <c r="EG386" s="120"/>
      <c r="EH386" s="120"/>
      <c r="EI386" s="120"/>
      <c r="EJ386" s="120"/>
      <c r="EK386" s="120"/>
      <c r="EL386" s="120"/>
      <c r="EM386" s="120"/>
      <c r="EN386" s="120"/>
      <c r="EO386" s="120"/>
      <c r="EP386" s="120"/>
      <c r="EQ386" s="120"/>
      <c r="ER386" s="120"/>
      <c r="ES386" s="120"/>
      <c r="ET386" s="120"/>
      <c r="EU386" s="120"/>
      <c r="EV386" s="120"/>
      <c r="EW386" s="120"/>
      <c r="EX386" s="120"/>
      <c r="EY386" s="120"/>
      <c r="EZ386" s="120"/>
      <c r="FA386" s="120"/>
      <c r="FB386" s="120"/>
      <c r="FC386" s="120"/>
      <c r="FD386" s="120"/>
      <c r="FE386" s="120"/>
      <c r="FF386" s="120"/>
      <c r="FG386" s="120"/>
      <c r="FH386" s="120"/>
      <c r="FI386" s="120"/>
      <c r="FJ386" s="120"/>
      <c r="FK386" s="120"/>
      <c r="FL386" s="120"/>
      <c r="FM386" s="120"/>
      <c r="FN386" s="120"/>
      <c r="FO386" s="120"/>
      <c r="FP386" s="120"/>
      <c r="FQ386" s="120"/>
      <c r="FR386" s="120"/>
      <c r="FS386" s="120"/>
      <c r="FT386" s="120"/>
      <c r="FU386" s="120"/>
      <c r="FV386" s="120"/>
      <c r="FW386" s="120"/>
      <c r="FX386" s="120"/>
      <c r="FY386" s="120"/>
      <c r="FZ386" s="120"/>
      <c r="GA386" s="120"/>
      <c r="GB386" s="120"/>
      <c r="GC386" s="120"/>
      <c r="GD386" s="120"/>
      <c r="GE386" s="120"/>
      <c r="GF386" s="120"/>
      <c r="GG386" s="120"/>
      <c r="GH386" s="120"/>
      <c r="GI386" s="120"/>
      <c r="GJ386" s="120"/>
      <c r="GK386" s="120"/>
      <c r="GL386" s="120"/>
      <c r="GM386" s="120"/>
      <c r="GN386" s="120"/>
      <c r="GO386" s="120"/>
      <c r="GP386" s="120"/>
      <c r="GQ386" s="120"/>
      <c r="GR386" s="120"/>
      <c r="GS386" s="120"/>
      <c r="GT386" s="120"/>
      <c r="GU386" s="120"/>
      <c r="GV386" s="120"/>
      <c r="GW386" s="120"/>
      <c r="GX386" s="120"/>
      <c r="GY386" s="120"/>
      <c r="GZ386" s="120"/>
      <c r="HA386" s="120"/>
      <c r="HB386" s="120"/>
      <c r="HC386" s="120"/>
      <c r="HD386" s="120"/>
      <c r="HE386" s="120"/>
      <c r="HF386" s="120"/>
      <c r="HG386" s="120"/>
      <c r="HH386" s="120"/>
      <c r="HI386" s="120"/>
      <c r="HJ386" s="120"/>
      <c r="HK386" s="120"/>
      <c r="HL386" s="120"/>
      <c r="HM386" s="120"/>
      <c r="HN386" s="120"/>
      <c r="HO386" s="120"/>
      <c r="HP386" s="120"/>
      <c r="HQ386" s="120"/>
      <c r="HR386" s="120"/>
      <c r="HS386" s="120"/>
      <c r="HT386" s="120"/>
      <c r="HU386" s="120"/>
      <c r="HV386" s="120"/>
      <c r="HW386" s="120"/>
      <c r="HX386" s="120"/>
      <c r="HY386" s="120"/>
      <c r="HZ386" s="120"/>
      <c r="IA386" s="120"/>
      <c r="IB386" s="120"/>
      <c r="IC386" s="120"/>
      <c r="ID386" s="120"/>
      <c r="IE386" s="120"/>
      <c r="IF386" s="120"/>
      <c r="IG386" s="120"/>
      <c r="IH386" s="120"/>
      <c r="II386" s="120"/>
      <c r="IJ386" s="120"/>
      <c r="IK386" s="120"/>
      <c r="IL386" s="120"/>
      <c r="IM386" s="120"/>
    </row>
    <row r="387" spans="1:247" ht="83.25" customHeight="1" x14ac:dyDescent="0.25">
      <c r="B387" s="302" t="s">
        <v>167</v>
      </c>
      <c r="C387" s="54" t="s">
        <v>52</v>
      </c>
      <c r="D387" s="246">
        <v>100</v>
      </c>
      <c r="E387" s="456">
        <f>630/1600*100</f>
        <v>39.375</v>
      </c>
      <c r="F387" s="64">
        <f>IF((E387/D387*100)&gt;100,"100",E387/D387*100)</f>
        <v>39.375</v>
      </c>
      <c r="G387" s="688"/>
      <c r="H387" s="457" t="s">
        <v>1253</v>
      </c>
      <c r="I387" s="718"/>
      <c r="J387" s="718"/>
      <c r="K387" s="718"/>
      <c r="L387" s="718"/>
      <c r="M387" s="718"/>
      <c r="N387" s="718"/>
      <c r="O387" s="718"/>
      <c r="P387" s="718"/>
      <c r="Q387" s="718"/>
      <c r="R387" s="718"/>
      <c r="S387" s="718"/>
      <c r="T387" s="718"/>
      <c r="U387" s="718"/>
      <c r="V387" s="718"/>
      <c r="W387" s="718"/>
      <c r="X387" s="718"/>
      <c r="Y387" s="718"/>
      <c r="Z387" s="718"/>
      <c r="AA387" s="718"/>
      <c r="AB387" s="718"/>
      <c r="AC387" s="718"/>
      <c r="AD387" s="718"/>
      <c r="AE387" s="718"/>
      <c r="AF387" s="718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20"/>
      <c r="AV387" s="120"/>
      <c r="AW387" s="120"/>
      <c r="AX387" s="120"/>
      <c r="AY387" s="120"/>
      <c r="AZ387" s="120"/>
      <c r="BA387" s="120"/>
      <c r="BB387" s="120"/>
      <c r="BC387" s="120"/>
      <c r="BD387" s="120"/>
      <c r="BE387" s="120"/>
      <c r="BF387" s="120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20"/>
      <c r="BS387" s="120"/>
      <c r="BT387" s="120"/>
      <c r="BU387" s="120"/>
      <c r="BV387" s="120"/>
      <c r="BW387" s="120"/>
      <c r="BX387" s="120"/>
      <c r="BY387" s="120"/>
      <c r="BZ387" s="120"/>
      <c r="CA387" s="120"/>
      <c r="CB387" s="120"/>
      <c r="CC387" s="120"/>
      <c r="CD387" s="120"/>
      <c r="CE387" s="120"/>
      <c r="CF387" s="120"/>
      <c r="CG387" s="120"/>
      <c r="CH387" s="120"/>
      <c r="CI387" s="120"/>
      <c r="CJ387" s="120"/>
      <c r="CK387" s="120"/>
      <c r="CL387" s="120"/>
      <c r="CM387" s="120"/>
      <c r="CN387" s="120"/>
      <c r="CO387" s="120"/>
      <c r="CP387" s="120"/>
      <c r="CQ387" s="120"/>
      <c r="CR387" s="120"/>
      <c r="CS387" s="120"/>
      <c r="CT387" s="120"/>
      <c r="CU387" s="120"/>
      <c r="CV387" s="120"/>
      <c r="CW387" s="120"/>
      <c r="CX387" s="120"/>
      <c r="CY387" s="120"/>
      <c r="CZ387" s="120"/>
      <c r="DA387" s="120"/>
      <c r="DB387" s="120"/>
      <c r="DC387" s="120"/>
      <c r="DD387" s="120"/>
      <c r="DE387" s="120"/>
      <c r="DF387" s="120"/>
      <c r="DG387" s="120"/>
      <c r="DH387" s="120"/>
      <c r="DI387" s="120"/>
      <c r="DJ387" s="120"/>
      <c r="DK387" s="120"/>
      <c r="DL387" s="120"/>
      <c r="DM387" s="120"/>
      <c r="DN387" s="120"/>
      <c r="DO387" s="120"/>
      <c r="DP387" s="120"/>
      <c r="DQ387" s="120"/>
      <c r="DR387" s="120"/>
      <c r="DS387" s="120"/>
      <c r="DT387" s="120"/>
      <c r="DU387" s="120"/>
      <c r="DV387" s="120"/>
      <c r="DW387" s="120"/>
      <c r="DX387" s="120"/>
      <c r="DY387" s="120"/>
      <c r="DZ387" s="120"/>
      <c r="EA387" s="120"/>
      <c r="EB387" s="120"/>
      <c r="EC387" s="120"/>
      <c r="ED387" s="120"/>
      <c r="EE387" s="120"/>
      <c r="EF387" s="120"/>
      <c r="EG387" s="120"/>
      <c r="EH387" s="120"/>
      <c r="EI387" s="120"/>
      <c r="EJ387" s="120"/>
      <c r="EK387" s="120"/>
      <c r="EL387" s="120"/>
      <c r="EM387" s="120"/>
      <c r="EN387" s="120"/>
      <c r="EO387" s="120"/>
      <c r="EP387" s="120"/>
      <c r="EQ387" s="120"/>
      <c r="ER387" s="120"/>
      <c r="ES387" s="120"/>
      <c r="ET387" s="120"/>
      <c r="EU387" s="120"/>
      <c r="EV387" s="120"/>
      <c r="EW387" s="120"/>
      <c r="EX387" s="120"/>
      <c r="EY387" s="120"/>
      <c r="EZ387" s="120"/>
      <c r="FA387" s="120"/>
      <c r="FB387" s="120"/>
      <c r="FC387" s="120"/>
      <c r="FD387" s="120"/>
      <c r="FE387" s="120"/>
      <c r="FF387" s="120"/>
      <c r="FG387" s="120"/>
      <c r="FH387" s="120"/>
      <c r="FI387" s="120"/>
      <c r="FJ387" s="120"/>
      <c r="FK387" s="120"/>
      <c r="FL387" s="120"/>
      <c r="FM387" s="120"/>
      <c r="FN387" s="120"/>
      <c r="FO387" s="120"/>
      <c r="FP387" s="120"/>
      <c r="FQ387" s="120"/>
      <c r="FR387" s="120"/>
      <c r="FS387" s="120"/>
      <c r="FT387" s="120"/>
      <c r="FU387" s="120"/>
      <c r="FV387" s="120"/>
      <c r="FW387" s="120"/>
      <c r="FX387" s="120"/>
      <c r="FY387" s="120"/>
      <c r="FZ387" s="120"/>
      <c r="GA387" s="120"/>
      <c r="GB387" s="120"/>
      <c r="GC387" s="120"/>
      <c r="GD387" s="120"/>
      <c r="GE387" s="120"/>
      <c r="GF387" s="120"/>
      <c r="GG387" s="120"/>
      <c r="GH387" s="120"/>
      <c r="GI387" s="120"/>
      <c r="GJ387" s="120"/>
      <c r="GK387" s="120"/>
      <c r="GL387" s="120"/>
      <c r="GM387" s="120"/>
      <c r="GN387" s="120"/>
      <c r="GO387" s="120"/>
      <c r="GP387" s="120"/>
      <c r="GQ387" s="120"/>
      <c r="GR387" s="120"/>
      <c r="GS387" s="120"/>
      <c r="GT387" s="120"/>
      <c r="GU387" s="120"/>
      <c r="GV387" s="120"/>
      <c r="GW387" s="120"/>
      <c r="GX387" s="120"/>
      <c r="GY387" s="120"/>
      <c r="GZ387" s="120"/>
      <c r="HA387" s="120"/>
      <c r="HB387" s="120"/>
      <c r="HC387" s="120"/>
      <c r="HD387" s="120"/>
      <c r="HE387" s="120"/>
      <c r="HF387" s="120"/>
      <c r="HG387" s="120"/>
      <c r="HH387" s="120"/>
      <c r="HI387" s="120"/>
      <c r="HJ387" s="120"/>
      <c r="HK387" s="120"/>
      <c r="HL387" s="120"/>
      <c r="HM387" s="120"/>
      <c r="HN387" s="120"/>
      <c r="HO387" s="120"/>
      <c r="HP387" s="120"/>
      <c r="HQ387" s="120"/>
      <c r="HR387" s="120"/>
      <c r="HS387" s="120"/>
      <c r="HT387" s="120"/>
      <c r="HU387" s="120"/>
      <c r="HV387" s="120"/>
      <c r="HW387" s="120"/>
      <c r="HX387" s="120"/>
      <c r="HY387" s="120"/>
      <c r="HZ387" s="120"/>
      <c r="IA387" s="120"/>
      <c r="IB387" s="120"/>
      <c r="IC387" s="120"/>
      <c r="ID387" s="120"/>
      <c r="IE387" s="120"/>
      <c r="IF387" s="120"/>
      <c r="IG387" s="120"/>
      <c r="IH387" s="120"/>
      <c r="II387" s="120"/>
      <c r="IJ387" s="120"/>
      <c r="IK387" s="120"/>
      <c r="IL387" s="120"/>
      <c r="IM387" s="120"/>
    </row>
    <row r="388" spans="1:247" x14ac:dyDescent="0.25">
      <c r="B388" s="806" t="s">
        <v>402</v>
      </c>
      <c r="C388" s="807"/>
      <c r="D388" s="807"/>
      <c r="E388" s="807"/>
      <c r="F388" s="808"/>
      <c r="G388" s="688"/>
      <c r="H388" s="431"/>
      <c r="I388" s="718"/>
      <c r="J388" s="718"/>
      <c r="K388" s="718"/>
      <c r="L388" s="718"/>
      <c r="M388" s="718"/>
      <c r="N388" s="718"/>
      <c r="O388" s="718"/>
      <c r="P388" s="718"/>
      <c r="Q388" s="718"/>
      <c r="R388" s="718"/>
      <c r="S388" s="718"/>
      <c r="T388" s="718"/>
      <c r="U388" s="718"/>
      <c r="V388" s="718"/>
      <c r="W388" s="718"/>
      <c r="X388" s="718"/>
      <c r="Y388" s="718"/>
      <c r="Z388" s="718"/>
      <c r="AA388" s="718"/>
      <c r="AB388" s="718"/>
      <c r="AC388" s="718"/>
      <c r="AD388" s="718"/>
      <c r="AE388" s="718"/>
      <c r="AF388" s="718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20"/>
      <c r="AV388" s="120"/>
      <c r="AW388" s="120"/>
      <c r="AX388" s="120"/>
      <c r="AY388" s="120"/>
      <c r="AZ388" s="120"/>
      <c r="BA388" s="120"/>
      <c r="BB388" s="120"/>
      <c r="BC388" s="120"/>
      <c r="BD388" s="120"/>
      <c r="BE388" s="120"/>
      <c r="BF388" s="120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20"/>
      <c r="BS388" s="120"/>
      <c r="BT388" s="120"/>
      <c r="BU388" s="120"/>
      <c r="BV388" s="120"/>
      <c r="BW388" s="120"/>
      <c r="BX388" s="120"/>
      <c r="BY388" s="120"/>
      <c r="BZ388" s="120"/>
      <c r="CA388" s="120"/>
      <c r="CB388" s="120"/>
      <c r="CC388" s="120"/>
      <c r="CD388" s="120"/>
      <c r="CE388" s="120"/>
      <c r="CF388" s="120"/>
      <c r="CG388" s="120"/>
      <c r="CH388" s="120"/>
      <c r="CI388" s="120"/>
      <c r="CJ388" s="120"/>
      <c r="CK388" s="120"/>
      <c r="CL388" s="120"/>
      <c r="CM388" s="120"/>
      <c r="CN388" s="120"/>
      <c r="CO388" s="120"/>
      <c r="CP388" s="120"/>
      <c r="CQ388" s="120"/>
      <c r="CR388" s="120"/>
      <c r="CS388" s="120"/>
      <c r="CT388" s="120"/>
      <c r="CU388" s="120"/>
      <c r="CV388" s="120"/>
      <c r="CW388" s="120"/>
      <c r="CX388" s="120"/>
      <c r="CY388" s="120"/>
      <c r="CZ388" s="120"/>
      <c r="DA388" s="120"/>
      <c r="DB388" s="120"/>
      <c r="DC388" s="120"/>
      <c r="DD388" s="120"/>
      <c r="DE388" s="120"/>
      <c r="DF388" s="120"/>
      <c r="DG388" s="120"/>
      <c r="DH388" s="120"/>
      <c r="DI388" s="120"/>
      <c r="DJ388" s="120"/>
      <c r="DK388" s="120"/>
      <c r="DL388" s="120"/>
      <c r="DM388" s="120"/>
      <c r="DN388" s="120"/>
      <c r="DO388" s="120"/>
      <c r="DP388" s="120"/>
      <c r="DQ388" s="120"/>
      <c r="DR388" s="120"/>
      <c r="DS388" s="120"/>
      <c r="DT388" s="120"/>
      <c r="DU388" s="120"/>
      <c r="DV388" s="120"/>
      <c r="DW388" s="120"/>
      <c r="DX388" s="120"/>
      <c r="DY388" s="120"/>
      <c r="DZ388" s="120"/>
      <c r="EA388" s="120"/>
      <c r="EB388" s="120"/>
      <c r="EC388" s="120"/>
      <c r="ED388" s="120"/>
      <c r="EE388" s="120"/>
      <c r="EF388" s="120"/>
      <c r="EG388" s="120"/>
      <c r="EH388" s="120"/>
      <c r="EI388" s="120"/>
      <c r="EJ388" s="120"/>
      <c r="EK388" s="120"/>
      <c r="EL388" s="120"/>
      <c r="EM388" s="120"/>
      <c r="EN388" s="120"/>
      <c r="EO388" s="120"/>
      <c r="EP388" s="120"/>
      <c r="EQ388" s="120"/>
      <c r="ER388" s="120"/>
      <c r="ES388" s="120"/>
      <c r="ET388" s="120"/>
      <c r="EU388" s="120"/>
      <c r="EV388" s="120"/>
      <c r="EW388" s="120"/>
      <c r="EX388" s="120"/>
      <c r="EY388" s="120"/>
      <c r="EZ388" s="120"/>
      <c r="FA388" s="120"/>
      <c r="FB388" s="120"/>
      <c r="FC388" s="120"/>
      <c r="FD388" s="120"/>
      <c r="FE388" s="120"/>
      <c r="FF388" s="120"/>
      <c r="FG388" s="120"/>
      <c r="FH388" s="120"/>
      <c r="FI388" s="120"/>
      <c r="FJ388" s="120"/>
      <c r="FK388" s="120"/>
      <c r="FL388" s="120"/>
      <c r="FM388" s="120"/>
      <c r="FN388" s="120"/>
      <c r="FO388" s="120"/>
      <c r="FP388" s="120"/>
      <c r="FQ388" s="120"/>
      <c r="FR388" s="120"/>
      <c r="FS388" s="120"/>
      <c r="FT388" s="120"/>
      <c r="FU388" s="120"/>
      <c r="FV388" s="120"/>
      <c r="FW388" s="120"/>
      <c r="FX388" s="120"/>
      <c r="FY388" s="120"/>
      <c r="FZ388" s="120"/>
      <c r="GA388" s="120"/>
      <c r="GB388" s="120"/>
      <c r="GC388" s="120"/>
      <c r="GD388" s="120"/>
      <c r="GE388" s="120"/>
      <c r="GF388" s="120"/>
      <c r="GG388" s="120"/>
      <c r="GH388" s="120"/>
      <c r="GI388" s="120"/>
      <c r="GJ388" s="120"/>
      <c r="GK388" s="120"/>
      <c r="GL388" s="120"/>
      <c r="GM388" s="120"/>
      <c r="GN388" s="120"/>
      <c r="GO388" s="120"/>
      <c r="GP388" s="120"/>
      <c r="GQ388" s="120"/>
      <c r="GR388" s="120"/>
      <c r="GS388" s="120"/>
      <c r="GT388" s="120"/>
      <c r="GU388" s="120"/>
      <c r="GV388" s="120"/>
      <c r="GW388" s="120"/>
      <c r="GX388" s="120"/>
      <c r="GY388" s="120"/>
      <c r="GZ388" s="120"/>
      <c r="HA388" s="120"/>
      <c r="HB388" s="120"/>
      <c r="HC388" s="120"/>
      <c r="HD388" s="120"/>
      <c r="HE388" s="120"/>
      <c r="HF388" s="120"/>
      <c r="HG388" s="120"/>
      <c r="HH388" s="120"/>
      <c r="HI388" s="120"/>
      <c r="HJ388" s="120"/>
      <c r="HK388" s="120"/>
      <c r="HL388" s="120"/>
      <c r="HM388" s="120"/>
      <c r="HN388" s="120"/>
      <c r="HO388" s="120"/>
      <c r="HP388" s="120"/>
      <c r="HQ388" s="120"/>
      <c r="HR388" s="120"/>
      <c r="HS388" s="120"/>
      <c r="HT388" s="120"/>
      <c r="HU388" s="120"/>
      <c r="HV388" s="120"/>
      <c r="HW388" s="120"/>
      <c r="HX388" s="120"/>
      <c r="HY388" s="120"/>
      <c r="HZ388" s="120"/>
      <c r="IA388" s="120"/>
      <c r="IB388" s="120"/>
      <c r="IC388" s="120"/>
      <c r="ID388" s="120"/>
      <c r="IE388" s="120"/>
      <c r="IF388" s="120"/>
      <c r="IG388" s="120"/>
      <c r="IH388" s="120"/>
      <c r="II388" s="120"/>
      <c r="IJ388" s="120"/>
      <c r="IK388" s="120"/>
      <c r="IL388" s="120"/>
      <c r="IM388" s="120"/>
    </row>
    <row r="389" spans="1:247" ht="47.25" customHeight="1" x14ac:dyDescent="0.25">
      <c r="B389" s="302" t="s">
        <v>168</v>
      </c>
      <c r="C389" s="54" t="s">
        <v>85</v>
      </c>
      <c r="D389" s="54">
        <v>1</v>
      </c>
      <c r="E389" s="54">
        <v>1</v>
      </c>
      <c r="F389" s="64">
        <f>E389/D389*100</f>
        <v>100</v>
      </c>
      <c r="G389" s="688"/>
      <c r="H389" s="443" t="s">
        <v>1004</v>
      </c>
      <c r="I389" s="718"/>
      <c r="J389" s="718"/>
      <c r="K389" s="718"/>
      <c r="L389" s="718"/>
      <c r="M389" s="718"/>
      <c r="N389" s="718"/>
      <c r="O389" s="718"/>
      <c r="P389" s="718"/>
      <c r="Q389" s="718"/>
      <c r="R389" s="718"/>
      <c r="S389" s="718"/>
      <c r="T389" s="718"/>
      <c r="U389" s="718"/>
      <c r="V389" s="718"/>
      <c r="W389" s="718"/>
      <c r="X389" s="718"/>
      <c r="Y389" s="718"/>
      <c r="Z389" s="718"/>
      <c r="AA389" s="718"/>
      <c r="AB389" s="718"/>
      <c r="AC389" s="718"/>
      <c r="AD389" s="718"/>
      <c r="AE389" s="718"/>
      <c r="AF389" s="718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20"/>
      <c r="AV389" s="120"/>
      <c r="AW389" s="120"/>
      <c r="AX389" s="120"/>
      <c r="AY389" s="120"/>
      <c r="AZ389" s="120"/>
      <c r="BA389" s="120"/>
      <c r="BB389" s="120"/>
      <c r="BC389" s="120"/>
      <c r="BD389" s="120"/>
      <c r="BE389" s="120"/>
      <c r="BF389" s="120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20"/>
      <c r="BS389" s="120"/>
      <c r="BT389" s="120"/>
      <c r="BU389" s="120"/>
      <c r="BV389" s="120"/>
      <c r="BW389" s="120"/>
      <c r="BX389" s="120"/>
      <c r="BY389" s="120"/>
      <c r="BZ389" s="120"/>
      <c r="CA389" s="120"/>
      <c r="CB389" s="120"/>
      <c r="CC389" s="120"/>
      <c r="CD389" s="120"/>
      <c r="CE389" s="120"/>
      <c r="CF389" s="120"/>
      <c r="CG389" s="120"/>
      <c r="CH389" s="120"/>
      <c r="CI389" s="120"/>
      <c r="CJ389" s="120"/>
      <c r="CK389" s="120"/>
      <c r="CL389" s="120"/>
      <c r="CM389" s="120"/>
      <c r="CN389" s="120"/>
      <c r="CO389" s="120"/>
      <c r="CP389" s="120"/>
      <c r="CQ389" s="120"/>
      <c r="CR389" s="120"/>
      <c r="CS389" s="120"/>
      <c r="CT389" s="120"/>
      <c r="CU389" s="120"/>
      <c r="CV389" s="120"/>
      <c r="CW389" s="120"/>
      <c r="CX389" s="120"/>
      <c r="CY389" s="120"/>
      <c r="CZ389" s="120"/>
      <c r="DA389" s="120"/>
      <c r="DB389" s="120"/>
      <c r="DC389" s="120"/>
      <c r="DD389" s="120"/>
      <c r="DE389" s="120"/>
      <c r="DF389" s="120"/>
      <c r="DG389" s="120"/>
      <c r="DH389" s="120"/>
      <c r="DI389" s="120"/>
      <c r="DJ389" s="120"/>
      <c r="DK389" s="120"/>
      <c r="DL389" s="120"/>
      <c r="DM389" s="120"/>
      <c r="DN389" s="120"/>
      <c r="DO389" s="120"/>
      <c r="DP389" s="120"/>
      <c r="DQ389" s="120"/>
      <c r="DR389" s="120"/>
      <c r="DS389" s="120"/>
      <c r="DT389" s="120"/>
      <c r="DU389" s="120"/>
      <c r="DV389" s="120"/>
      <c r="DW389" s="120"/>
      <c r="DX389" s="120"/>
      <c r="DY389" s="120"/>
      <c r="DZ389" s="120"/>
      <c r="EA389" s="120"/>
      <c r="EB389" s="120"/>
      <c r="EC389" s="120"/>
      <c r="ED389" s="120"/>
      <c r="EE389" s="120"/>
      <c r="EF389" s="120"/>
      <c r="EG389" s="120"/>
      <c r="EH389" s="120"/>
      <c r="EI389" s="120"/>
      <c r="EJ389" s="120"/>
      <c r="EK389" s="120"/>
      <c r="EL389" s="120"/>
      <c r="EM389" s="120"/>
      <c r="EN389" s="120"/>
      <c r="EO389" s="120"/>
      <c r="EP389" s="120"/>
      <c r="EQ389" s="120"/>
      <c r="ER389" s="120"/>
      <c r="ES389" s="120"/>
      <c r="ET389" s="120"/>
      <c r="EU389" s="120"/>
      <c r="EV389" s="120"/>
      <c r="EW389" s="120"/>
      <c r="EX389" s="120"/>
      <c r="EY389" s="120"/>
      <c r="EZ389" s="120"/>
      <c r="FA389" s="120"/>
      <c r="FB389" s="120"/>
      <c r="FC389" s="120"/>
      <c r="FD389" s="120"/>
      <c r="FE389" s="120"/>
      <c r="FF389" s="120"/>
      <c r="FG389" s="120"/>
      <c r="FH389" s="120"/>
      <c r="FI389" s="120"/>
      <c r="FJ389" s="120"/>
      <c r="FK389" s="120"/>
      <c r="FL389" s="120"/>
      <c r="FM389" s="120"/>
      <c r="FN389" s="120"/>
      <c r="FO389" s="120"/>
      <c r="FP389" s="120"/>
      <c r="FQ389" s="120"/>
      <c r="FR389" s="120"/>
      <c r="FS389" s="120"/>
      <c r="FT389" s="120"/>
      <c r="FU389" s="120"/>
      <c r="FV389" s="120"/>
      <c r="FW389" s="120"/>
      <c r="FX389" s="120"/>
      <c r="FY389" s="120"/>
      <c r="FZ389" s="120"/>
      <c r="GA389" s="120"/>
      <c r="GB389" s="120"/>
      <c r="GC389" s="120"/>
      <c r="GD389" s="120"/>
      <c r="GE389" s="120"/>
      <c r="GF389" s="120"/>
      <c r="GG389" s="120"/>
      <c r="GH389" s="120"/>
      <c r="GI389" s="120"/>
      <c r="GJ389" s="120"/>
      <c r="GK389" s="120"/>
      <c r="GL389" s="120"/>
      <c r="GM389" s="120"/>
      <c r="GN389" s="120"/>
      <c r="GO389" s="120"/>
      <c r="GP389" s="120"/>
      <c r="GQ389" s="120"/>
      <c r="GR389" s="120"/>
      <c r="GS389" s="120"/>
      <c r="GT389" s="120"/>
      <c r="GU389" s="120"/>
      <c r="GV389" s="120"/>
      <c r="GW389" s="120"/>
      <c r="GX389" s="120"/>
      <c r="GY389" s="120"/>
      <c r="GZ389" s="120"/>
      <c r="HA389" s="120"/>
      <c r="HB389" s="120"/>
      <c r="HC389" s="120"/>
      <c r="HD389" s="120"/>
      <c r="HE389" s="120"/>
      <c r="HF389" s="120"/>
      <c r="HG389" s="120"/>
      <c r="HH389" s="120"/>
      <c r="HI389" s="120"/>
      <c r="HJ389" s="120"/>
      <c r="HK389" s="120"/>
      <c r="HL389" s="120"/>
      <c r="HM389" s="120"/>
      <c r="HN389" s="120"/>
      <c r="HO389" s="120"/>
      <c r="HP389" s="120"/>
      <c r="HQ389" s="120"/>
      <c r="HR389" s="120"/>
      <c r="HS389" s="120"/>
      <c r="HT389" s="120"/>
      <c r="HU389" s="120"/>
      <c r="HV389" s="120"/>
      <c r="HW389" s="120"/>
      <c r="HX389" s="120"/>
      <c r="HY389" s="120"/>
      <c r="HZ389" s="120"/>
      <c r="IA389" s="120"/>
      <c r="IB389" s="120"/>
      <c r="IC389" s="120"/>
      <c r="ID389" s="120"/>
      <c r="IE389" s="120"/>
      <c r="IF389" s="120"/>
      <c r="IG389" s="120"/>
      <c r="IH389" s="120"/>
      <c r="II389" s="120"/>
      <c r="IJ389" s="120"/>
      <c r="IK389" s="120"/>
      <c r="IL389" s="120"/>
      <c r="IM389" s="120"/>
    </row>
    <row r="390" spans="1:247" s="37" customFormat="1" x14ac:dyDescent="0.25">
      <c r="A390" s="137"/>
      <c r="B390" s="809" t="s">
        <v>403</v>
      </c>
      <c r="C390" s="810"/>
      <c r="D390" s="810"/>
      <c r="E390" s="810"/>
      <c r="F390" s="811"/>
      <c r="G390" s="703"/>
      <c r="H390" s="719"/>
      <c r="I390" s="720"/>
      <c r="J390" s="720"/>
      <c r="K390" s="720"/>
      <c r="L390" s="720"/>
      <c r="M390" s="720"/>
      <c r="N390" s="720"/>
      <c r="O390" s="720"/>
      <c r="P390" s="720"/>
      <c r="Q390" s="720"/>
      <c r="R390" s="720"/>
      <c r="S390" s="720"/>
      <c r="T390" s="720"/>
      <c r="U390" s="720"/>
      <c r="V390" s="720"/>
      <c r="W390" s="720"/>
      <c r="X390" s="720"/>
      <c r="Y390" s="720"/>
      <c r="Z390" s="720"/>
      <c r="AA390" s="720"/>
      <c r="AB390" s="720"/>
      <c r="AC390" s="720"/>
      <c r="AD390" s="720"/>
      <c r="AE390" s="720"/>
      <c r="AF390" s="720"/>
      <c r="AG390" s="138"/>
      <c r="AH390" s="138"/>
      <c r="AI390" s="138"/>
      <c r="AJ390" s="138"/>
      <c r="AK390" s="138"/>
      <c r="AL390" s="138"/>
      <c r="AM390" s="138"/>
      <c r="AN390" s="138"/>
      <c r="AO390" s="138"/>
      <c r="AP390" s="138"/>
      <c r="AQ390" s="138"/>
      <c r="AR390" s="138"/>
      <c r="AS390" s="138"/>
      <c r="AT390" s="138"/>
      <c r="AU390" s="138"/>
      <c r="AV390" s="138"/>
      <c r="AW390" s="138"/>
      <c r="AX390" s="138"/>
      <c r="AY390" s="138"/>
      <c r="AZ390" s="138"/>
      <c r="BA390" s="138"/>
      <c r="BB390" s="138"/>
      <c r="BC390" s="138"/>
      <c r="BD390" s="138"/>
      <c r="BE390" s="138"/>
      <c r="BF390" s="138"/>
      <c r="BG390" s="138"/>
      <c r="BH390" s="138"/>
      <c r="BI390" s="138"/>
      <c r="BJ390" s="138"/>
      <c r="BK390" s="138"/>
      <c r="BL390" s="138"/>
      <c r="BM390" s="138"/>
      <c r="BN390" s="138"/>
      <c r="BO390" s="138"/>
      <c r="BP390" s="138"/>
      <c r="BQ390" s="138"/>
      <c r="BR390" s="138"/>
      <c r="BS390" s="138"/>
      <c r="BT390" s="138"/>
      <c r="BU390" s="138"/>
      <c r="BV390" s="138"/>
      <c r="BW390" s="138"/>
      <c r="BX390" s="138"/>
      <c r="BY390" s="138"/>
      <c r="BZ390" s="138"/>
      <c r="CA390" s="138"/>
      <c r="CB390" s="138"/>
      <c r="CC390" s="138"/>
      <c r="CD390" s="138"/>
      <c r="CE390" s="138"/>
      <c r="CF390" s="138"/>
      <c r="CG390" s="138"/>
      <c r="CH390" s="138"/>
      <c r="CI390" s="138"/>
      <c r="CJ390" s="138"/>
      <c r="CK390" s="138"/>
      <c r="CL390" s="138"/>
      <c r="CM390" s="138"/>
      <c r="CN390" s="138"/>
      <c r="CO390" s="138"/>
      <c r="CP390" s="138"/>
      <c r="CQ390" s="138"/>
      <c r="CR390" s="138"/>
      <c r="CS390" s="138"/>
      <c r="CT390" s="138"/>
      <c r="CU390" s="138"/>
      <c r="CV390" s="138"/>
      <c r="CW390" s="138"/>
      <c r="CX390" s="138"/>
      <c r="CY390" s="138"/>
      <c r="CZ390" s="138"/>
      <c r="DA390" s="138"/>
      <c r="DB390" s="138"/>
      <c r="DC390" s="138"/>
      <c r="DD390" s="138"/>
      <c r="DE390" s="138"/>
      <c r="DF390" s="138"/>
      <c r="DG390" s="138"/>
      <c r="DH390" s="138"/>
      <c r="DI390" s="138"/>
      <c r="DJ390" s="138"/>
      <c r="DK390" s="138"/>
      <c r="DL390" s="138"/>
      <c r="DM390" s="138"/>
      <c r="DN390" s="138"/>
      <c r="DO390" s="138"/>
      <c r="DP390" s="138"/>
      <c r="DQ390" s="138"/>
      <c r="DR390" s="138"/>
      <c r="DS390" s="138"/>
      <c r="DT390" s="138"/>
      <c r="DU390" s="138"/>
      <c r="DV390" s="138"/>
      <c r="DW390" s="138"/>
      <c r="DX390" s="138"/>
      <c r="DY390" s="138"/>
      <c r="DZ390" s="138"/>
      <c r="EA390" s="138"/>
      <c r="EB390" s="138"/>
      <c r="EC390" s="138"/>
      <c r="ED390" s="138"/>
      <c r="EE390" s="138"/>
      <c r="EF390" s="138"/>
      <c r="EG390" s="138"/>
      <c r="EH390" s="138"/>
      <c r="EI390" s="138"/>
      <c r="EJ390" s="138"/>
      <c r="EK390" s="138"/>
      <c r="EL390" s="138"/>
      <c r="EM390" s="138"/>
      <c r="EN390" s="138"/>
      <c r="EO390" s="138"/>
      <c r="EP390" s="138"/>
      <c r="EQ390" s="138"/>
      <c r="ER390" s="138"/>
      <c r="ES390" s="138"/>
      <c r="ET390" s="138"/>
      <c r="EU390" s="138"/>
      <c r="EV390" s="138"/>
      <c r="EW390" s="138"/>
      <c r="EX390" s="138"/>
      <c r="EY390" s="138"/>
      <c r="EZ390" s="138"/>
      <c r="FA390" s="138"/>
      <c r="FB390" s="138"/>
      <c r="FC390" s="138"/>
      <c r="FD390" s="138"/>
      <c r="FE390" s="138"/>
      <c r="FF390" s="138"/>
      <c r="FG390" s="138"/>
      <c r="FH390" s="138"/>
      <c r="FI390" s="138"/>
      <c r="FJ390" s="138"/>
      <c r="FK390" s="138"/>
      <c r="FL390" s="138"/>
      <c r="FM390" s="138"/>
      <c r="FN390" s="138"/>
      <c r="FO390" s="138"/>
      <c r="FP390" s="138"/>
      <c r="FQ390" s="138"/>
      <c r="FR390" s="138"/>
      <c r="FS390" s="138"/>
      <c r="FT390" s="138"/>
      <c r="FU390" s="138"/>
      <c r="FV390" s="138"/>
      <c r="FW390" s="138"/>
      <c r="FX390" s="138"/>
      <c r="FY390" s="138"/>
      <c r="FZ390" s="138"/>
      <c r="GA390" s="138"/>
      <c r="GB390" s="138"/>
      <c r="GC390" s="138"/>
      <c r="GD390" s="138"/>
      <c r="GE390" s="138"/>
      <c r="GF390" s="138"/>
      <c r="GG390" s="138"/>
      <c r="GH390" s="138"/>
      <c r="GI390" s="138"/>
      <c r="GJ390" s="138"/>
      <c r="GK390" s="138"/>
      <c r="GL390" s="138"/>
      <c r="GM390" s="138"/>
      <c r="GN390" s="138"/>
      <c r="GO390" s="138"/>
      <c r="GP390" s="138"/>
      <c r="GQ390" s="138"/>
      <c r="GR390" s="138"/>
      <c r="GS390" s="138"/>
      <c r="GT390" s="138"/>
      <c r="GU390" s="138"/>
      <c r="GV390" s="138"/>
      <c r="GW390" s="138"/>
      <c r="GX390" s="138"/>
      <c r="GY390" s="138"/>
      <c r="GZ390" s="138"/>
      <c r="HA390" s="138"/>
      <c r="HB390" s="138"/>
      <c r="HC390" s="138"/>
      <c r="HD390" s="138"/>
      <c r="HE390" s="138"/>
      <c r="HF390" s="138"/>
      <c r="HG390" s="138"/>
      <c r="HH390" s="138"/>
      <c r="HI390" s="138"/>
      <c r="HJ390" s="138"/>
      <c r="HK390" s="138"/>
      <c r="HL390" s="138"/>
      <c r="HM390" s="138"/>
      <c r="HN390" s="138"/>
      <c r="HO390" s="138"/>
      <c r="HP390" s="138"/>
      <c r="HQ390" s="138"/>
      <c r="HR390" s="138"/>
      <c r="HS390" s="138"/>
      <c r="HT390" s="138"/>
      <c r="HU390" s="138"/>
      <c r="HV390" s="138"/>
      <c r="HW390" s="138"/>
      <c r="HX390" s="138"/>
      <c r="HY390" s="138"/>
      <c r="HZ390" s="138"/>
      <c r="IA390" s="138"/>
      <c r="IB390" s="138"/>
      <c r="IC390" s="138"/>
      <c r="ID390" s="138"/>
      <c r="IE390" s="138"/>
      <c r="IF390" s="138"/>
      <c r="IG390" s="138"/>
      <c r="IH390" s="138"/>
      <c r="II390" s="138"/>
      <c r="IJ390" s="138"/>
      <c r="IK390" s="138"/>
      <c r="IL390" s="138"/>
      <c r="IM390" s="138"/>
    </row>
    <row r="391" spans="1:247" x14ac:dyDescent="0.25">
      <c r="B391" s="806" t="s">
        <v>404</v>
      </c>
      <c r="C391" s="807"/>
      <c r="D391" s="807"/>
      <c r="E391" s="807"/>
      <c r="F391" s="808"/>
      <c r="G391" s="688"/>
      <c r="H391" s="431"/>
      <c r="I391" s="718"/>
      <c r="J391" s="718"/>
      <c r="K391" s="718"/>
      <c r="L391" s="718"/>
      <c r="M391" s="718"/>
      <c r="N391" s="718"/>
      <c r="O391" s="718"/>
      <c r="P391" s="718"/>
      <c r="Q391" s="718"/>
      <c r="R391" s="718"/>
      <c r="S391" s="718"/>
      <c r="T391" s="718"/>
      <c r="U391" s="718"/>
      <c r="V391" s="718"/>
      <c r="W391" s="718"/>
      <c r="X391" s="718"/>
      <c r="Y391" s="718"/>
      <c r="Z391" s="718"/>
      <c r="AA391" s="718"/>
      <c r="AB391" s="718"/>
      <c r="AC391" s="718"/>
      <c r="AD391" s="718"/>
      <c r="AE391" s="718"/>
      <c r="AF391" s="718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20"/>
      <c r="AV391" s="120"/>
      <c r="AW391" s="120"/>
      <c r="AX391" s="120"/>
      <c r="AY391" s="120"/>
      <c r="AZ391" s="120"/>
      <c r="BA391" s="120"/>
      <c r="BB391" s="120"/>
      <c r="BC391" s="120"/>
      <c r="BD391" s="120"/>
      <c r="BE391" s="120"/>
      <c r="BF391" s="120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20"/>
      <c r="BS391" s="120"/>
      <c r="BT391" s="120"/>
      <c r="BU391" s="120"/>
      <c r="BV391" s="120"/>
      <c r="BW391" s="120"/>
      <c r="BX391" s="120"/>
      <c r="BY391" s="120"/>
      <c r="BZ391" s="120"/>
      <c r="CA391" s="120"/>
      <c r="CB391" s="120"/>
      <c r="CC391" s="120"/>
      <c r="CD391" s="120"/>
      <c r="CE391" s="120"/>
      <c r="CF391" s="120"/>
      <c r="CG391" s="120"/>
      <c r="CH391" s="120"/>
      <c r="CI391" s="120"/>
      <c r="CJ391" s="120"/>
      <c r="CK391" s="120"/>
      <c r="CL391" s="120"/>
      <c r="CM391" s="120"/>
      <c r="CN391" s="120"/>
      <c r="CO391" s="120"/>
      <c r="CP391" s="120"/>
      <c r="CQ391" s="120"/>
      <c r="CR391" s="120"/>
      <c r="CS391" s="120"/>
      <c r="CT391" s="120"/>
      <c r="CU391" s="120"/>
      <c r="CV391" s="120"/>
      <c r="CW391" s="120"/>
      <c r="CX391" s="120"/>
      <c r="CY391" s="120"/>
      <c r="CZ391" s="120"/>
      <c r="DA391" s="120"/>
      <c r="DB391" s="120"/>
      <c r="DC391" s="120"/>
      <c r="DD391" s="120"/>
      <c r="DE391" s="120"/>
      <c r="DF391" s="120"/>
      <c r="DG391" s="120"/>
      <c r="DH391" s="120"/>
      <c r="DI391" s="120"/>
      <c r="DJ391" s="120"/>
      <c r="DK391" s="120"/>
      <c r="DL391" s="120"/>
      <c r="DM391" s="120"/>
      <c r="DN391" s="120"/>
      <c r="DO391" s="120"/>
      <c r="DP391" s="120"/>
      <c r="DQ391" s="120"/>
      <c r="DR391" s="120"/>
      <c r="DS391" s="120"/>
      <c r="DT391" s="120"/>
      <c r="DU391" s="120"/>
      <c r="DV391" s="120"/>
      <c r="DW391" s="120"/>
      <c r="DX391" s="120"/>
      <c r="DY391" s="120"/>
      <c r="DZ391" s="120"/>
      <c r="EA391" s="120"/>
      <c r="EB391" s="120"/>
      <c r="EC391" s="120"/>
      <c r="ED391" s="120"/>
      <c r="EE391" s="120"/>
      <c r="EF391" s="120"/>
      <c r="EG391" s="120"/>
      <c r="EH391" s="120"/>
      <c r="EI391" s="120"/>
      <c r="EJ391" s="120"/>
      <c r="EK391" s="120"/>
      <c r="EL391" s="120"/>
      <c r="EM391" s="120"/>
      <c r="EN391" s="120"/>
      <c r="EO391" s="120"/>
      <c r="EP391" s="120"/>
      <c r="EQ391" s="120"/>
      <c r="ER391" s="120"/>
      <c r="ES391" s="120"/>
      <c r="ET391" s="120"/>
      <c r="EU391" s="120"/>
      <c r="EV391" s="120"/>
      <c r="EW391" s="120"/>
      <c r="EX391" s="120"/>
      <c r="EY391" s="120"/>
      <c r="EZ391" s="120"/>
      <c r="FA391" s="120"/>
      <c r="FB391" s="120"/>
      <c r="FC391" s="120"/>
      <c r="FD391" s="120"/>
      <c r="FE391" s="120"/>
      <c r="FF391" s="120"/>
      <c r="FG391" s="120"/>
      <c r="FH391" s="120"/>
      <c r="FI391" s="120"/>
      <c r="FJ391" s="120"/>
      <c r="FK391" s="120"/>
      <c r="FL391" s="120"/>
      <c r="FM391" s="120"/>
      <c r="FN391" s="120"/>
      <c r="FO391" s="120"/>
      <c r="FP391" s="120"/>
      <c r="FQ391" s="120"/>
      <c r="FR391" s="120"/>
      <c r="FS391" s="120"/>
      <c r="FT391" s="120"/>
      <c r="FU391" s="120"/>
      <c r="FV391" s="120"/>
      <c r="FW391" s="120"/>
      <c r="FX391" s="120"/>
      <c r="FY391" s="120"/>
      <c r="FZ391" s="120"/>
      <c r="GA391" s="120"/>
      <c r="GB391" s="120"/>
      <c r="GC391" s="120"/>
      <c r="GD391" s="120"/>
      <c r="GE391" s="120"/>
      <c r="GF391" s="120"/>
      <c r="GG391" s="120"/>
      <c r="GH391" s="120"/>
      <c r="GI391" s="120"/>
      <c r="GJ391" s="120"/>
      <c r="GK391" s="120"/>
      <c r="GL391" s="120"/>
      <c r="GM391" s="120"/>
      <c r="GN391" s="120"/>
      <c r="GO391" s="120"/>
      <c r="GP391" s="120"/>
      <c r="GQ391" s="120"/>
      <c r="GR391" s="120"/>
      <c r="GS391" s="120"/>
      <c r="GT391" s="120"/>
      <c r="GU391" s="120"/>
      <c r="GV391" s="120"/>
      <c r="GW391" s="120"/>
      <c r="GX391" s="120"/>
      <c r="GY391" s="120"/>
      <c r="GZ391" s="120"/>
      <c r="HA391" s="120"/>
      <c r="HB391" s="120"/>
      <c r="HC391" s="120"/>
      <c r="HD391" s="120"/>
      <c r="HE391" s="120"/>
      <c r="HF391" s="120"/>
      <c r="HG391" s="120"/>
      <c r="HH391" s="120"/>
      <c r="HI391" s="120"/>
      <c r="HJ391" s="120"/>
      <c r="HK391" s="120"/>
      <c r="HL391" s="120"/>
      <c r="HM391" s="120"/>
      <c r="HN391" s="120"/>
      <c r="HO391" s="120"/>
      <c r="HP391" s="120"/>
      <c r="HQ391" s="120"/>
      <c r="HR391" s="120"/>
      <c r="HS391" s="120"/>
      <c r="HT391" s="120"/>
      <c r="HU391" s="120"/>
      <c r="HV391" s="120"/>
      <c r="HW391" s="120"/>
      <c r="HX391" s="120"/>
      <c r="HY391" s="120"/>
      <c r="HZ391" s="120"/>
      <c r="IA391" s="120"/>
      <c r="IB391" s="120"/>
      <c r="IC391" s="120"/>
      <c r="ID391" s="120"/>
      <c r="IE391" s="120"/>
      <c r="IF391" s="120"/>
      <c r="IG391" s="120"/>
      <c r="IH391" s="120"/>
      <c r="II391" s="120"/>
      <c r="IJ391" s="120"/>
      <c r="IK391" s="120"/>
      <c r="IL391" s="120"/>
      <c r="IM391" s="120"/>
    </row>
    <row r="392" spans="1:247" ht="51" customHeight="1" x14ac:dyDescent="0.25">
      <c r="B392" s="89" t="s">
        <v>169</v>
      </c>
      <c r="C392" s="54" t="s">
        <v>52</v>
      </c>
      <c r="D392" s="458">
        <v>80</v>
      </c>
      <c r="E392" s="458">
        <f>1883/2312*100</f>
        <v>81.444636678200695</v>
      </c>
      <c r="F392" s="64" t="str">
        <f>IF((E392/D392*100)&gt;100,"100",E392/D392*100)</f>
        <v>100</v>
      </c>
      <c r="G392" s="688"/>
      <c r="H392" s="443" t="s">
        <v>1254</v>
      </c>
      <c r="I392" s="718"/>
      <c r="J392" s="718"/>
      <c r="K392" s="718"/>
      <c r="L392" s="718"/>
      <c r="M392" s="718"/>
      <c r="N392" s="718"/>
      <c r="O392" s="718"/>
      <c r="P392" s="718"/>
      <c r="Q392" s="718"/>
      <c r="R392" s="718"/>
      <c r="S392" s="718"/>
      <c r="T392" s="718"/>
      <c r="U392" s="718"/>
      <c r="V392" s="718"/>
      <c r="W392" s="718"/>
      <c r="X392" s="718"/>
      <c r="Y392" s="718"/>
      <c r="Z392" s="718"/>
      <c r="AA392" s="718"/>
      <c r="AB392" s="718"/>
      <c r="AC392" s="718"/>
      <c r="AD392" s="718"/>
      <c r="AE392" s="718"/>
      <c r="AF392" s="718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20"/>
      <c r="AV392" s="120"/>
      <c r="AW392" s="120"/>
      <c r="AX392" s="120"/>
      <c r="AY392" s="120"/>
      <c r="AZ392" s="120"/>
      <c r="BA392" s="120"/>
      <c r="BB392" s="120"/>
      <c r="BC392" s="120"/>
      <c r="BD392" s="120"/>
      <c r="BE392" s="120"/>
      <c r="BF392" s="120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20"/>
      <c r="BS392" s="120"/>
      <c r="BT392" s="120"/>
      <c r="BU392" s="120"/>
      <c r="BV392" s="120"/>
      <c r="BW392" s="120"/>
      <c r="BX392" s="120"/>
      <c r="BY392" s="120"/>
      <c r="BZ392" s="120"/>
      <c r="CA392" s="120"/>
      <c r="CB392" s="120"/>
      <c r="CC392" s="120"/>
      <c r="CD392" s="120"/>
      <c r="CE392" s="120"/>
      <c r="CF392" s="120"/>
      <c r="CG392" s="120"/>
      <c r="CH392" s="120"/>
      <c r="CI392" s="120"/>
      <c r="CJ392" s="120"/>
      <c r="CK392" s="120"/>
      <c r="CL392" s="120"/>
      <c r="CM392" s="120"/>
      <c r="CN392" s="120"/>
      <c r="CO392" s="120"/>
      <c r="CP392" s="120"/>
      <c r="CQ392" s="120"/>
      <c r="CR392" s="120"/>
      <c r="CS392" s="120"/>
      <c r="CT392" s="120"/>
      <c r="CU392" s="120"/>
      <c r="CV392" s="120"/>
      <c r="CW392" s="120"/>
      <c r="CX392" s="120"/>
      <c r="CY392" s="120"/>
      <c r="CZ392" s="120"/>
      <c r="DA392" s="120"/>
      <c r="DB392" s="120"/>
      <c r="DC392" s="120"/>
      <c r="DD392" s="120"/>
      <c r="DE392" s="120"/>
      <c r="DF392" s="120"/>
      <c r="DG392" s="120"/>
      <c r="DH392" s="120"/>
      <c r="DI392" s="120"/>
      <c r="DJ392" s="120"/>
      <c r="DK392" s="120"/>
      <c r="DL392" s="120"/>
      <c r="DM392" s="120"/>
      <c r="DN392" s="120"/>
      <c r="DO392" s="120"/>
      <c r="DP392" s="120"/>
      <c r="DQ392" s="120"/>
      <c r="DR392" s="120"/>
      <c r="DS392" s="120"/>
      <c r="DT392" s="120"/>
      <c r="DU392" s="120"/>
      <c r="DV392" s="120"/>
      <c r="DW392" s="120"/>
      <c r="DX392" s="120"/>
      <c r="DY392" s="120"/>
      <c r="DZ392" s="120"/>
      <c r="EA392" s="120"/>
      <c r="EB392" s="120"/>
      <c r="EC392" s="120"/>
      <c r="ED392" s="120"/>
      <c r="EE392" s="120"/>
      <c r="EF392" s="120"/>
      <c r="EG392" s="120"/>
      <c r="EH392" s="120"/>
      <c r="EI392" s="120"/>
      <c r="EJ392" s="120"/>
      <c r="EK392" s="120"/>
      <c r="EL392" s="120"/>
      <c r="EM392" s="120"/>
      <c r="EN392" s="120"/>
      <c r="EO392" s="120"/>
      <c r="EP392" s="120"/>
      <c r="EQ392" s="120"/>
      <c r="ER392" s="120"/>
      <c r="ES392" s="120"/>
      <c r="ET392" s="120"/>
      <c r="EU392" s="120"/>
      <c r="EV392" s="120"/>
      <c r="EW392" s="120"/>
      <c r="EX392" s="120"/>
      <c r="EY392" s="120"/>
      <c r="EZ392" s="120"/>
      <c r="FA392" s="120"/>
      <c r="FB392" s="120"/>
      <c r="FC392" s="120"/>
      <c r="FD392" s="120"/>
      <c r="FE392" s="120"/>
      <c r="FF392" s="120"/>
      <c r="FG392" s="120"/>
      <c r="FH392" s="120"/>
      <c r="FI392" s="120"/>
      <c r="FJ392" s="120"/>
      <c r="FK392" s="120"/>
      <c r="FL392" s="120"/>
      <c r="FM392" s="120"/>
      <c r="FN392" s="120"/>
      <c r="FO392" s="120"/>
      <c r="FP392" s="120"/>
      <c r="FQ392" s="120"/>
      <c r="FR392" s="120"/>
      <c r="FS392" s="120"/>
      <c r="FT392" s="120"/>
      <c r="FU392" s="120"/>
      <c r="FV392" s="120"/>
      <c r="FW392" s="120"/>
      <c r="FX392" s="120"/>
      <c r="FY392" s="120"/>
      <c r="FZ392" s="120"/>
      <c r="GA392" s="120"/>
      <c r="GB392" s="120"/>
      <c r="GC392" s="120"/>
      <c r="GD392" s="120"/>
      <c r="GE392" s="120"/>
      <c r="GF392" s="120"/>
      <c r="GG392" s="120"/>
      <c r="GH392" s="120"/>
      <c r="GI392" s="120"/>
      <c r="GJ392" s="120"/>
      <c r="GK392" s="120"/>
      <c r="GL392" s="120"/>
      <c r="GM392" s="120"/>
      <c r="GN392" s="120"/>
      <c r="GO392" s="120"/>
      <c r="GP392" s="120"/>
      <c r="GQ392" s="120"/>
      <c r="GR392" s="120"/>
      <c r="GS392" s="120"/>
      <c r="GT392" s="120"/>
      <c r="GU392" s="120"/>
      <c r="GV392" s="120"/>
      <c r="GW392" s="120"/>
      <c r="GX392" s="120"/>
      <c r="GY392" s="120"/>
      <c r="GZ392" s="120"/>
      <c r="HA392" s="120"/>
      <c r="HB392" s="120"/>
      <c r="HC392" s="120"/>
      <c r="HD392" s="120"/>
      <c r="HE392" s="120"/>
      <c r="HF392" s="120"/>
      <c r="HG392" s="120"/>
      <c r="HH392" s="120"/>
      <c r="HI392" s="120"/>
      <c r="HJ392" s="120"/>
      <c r="HK392" s="120"/>
      <c r="HL392" s="120"/>
      <c r="HM392" s="120"/>
      <c r="HN392" s="120"/>
      <c r="HO392" s="120"/>
      <c r="HP392" s="120"/>
      <c r="HQ392" s="120"/>
      <c r="HR392" s="120"/>
      <c r="HS392" s="120"/>
      <c r="HT392" s="120"/>
      <c r="HU392" s="120"/>
      <c r="HV392" s="120"/>
      <c r="HW392" s="120"/>
      <c r="HX392" s="120"/>
      <c r="HY392" s="120"/>
      <c r="HZ392" s="120"/>
      <c r="IA392" s="120"/>
      <c r="IB392" s="120"/>
      <c r="IC392" s="120"/>
      <c r="ID392" s="120"/>
      <c r="IE392" s="120"/>
      <c r="IF392" s="120"/>
      <c r="IG392" s="120"/>
      <c r="IH392" s="120"/>
      <c r="II392" s="120"/>
      <c r="IJ392" s="120"/>
      <c r="IK392" s="120"/>
      <c r="IL392" s="120"/>
      <c r="IM392" s="120"/>
    </row>
    <row r="393" spans="1:247" ht="81.75" customHeight="1" x14ac:dyDescent="0.25">
      <c r="B393" s="308" t="s">
        <v>170</v>
      </c>
      <c r="C393" s="54" t="s">
        <v>85</v>
      </c>
      <c r="D393" s="322">
        <v>2</v>
      </c>
      <c r="E393" s="459">
        <v>0</v>
      </c>
      <c r="F393" s="64">
        <f>IF((E393/D393*100)&gt;100,"100",E393/D393*100)</f>
        <v>0</v>
      </c>
      <c r="G393" s="688"/>
      <c r="H393" s="443" t="s">
        <v>1255</v>
      </c>
      <c r="I393" s="718"/>
      <c r="J393" s="718"/>
      <c r="K393" s="718"/>
      <c r="L393" s="718"/>
      <c r="M393" s="718"/>
      <c r="N393" s="718"/>
      <c r="O393" s="718"/>
      <c r="P393" s="718"/>
      <c r="Q393" s="718"/>
      <c r="R393" s="718"/>
      <c r="S393" s="718"/>
      <c r="T393" s="718"/>
      <c r="U393" s="718"/>
      <c r="V393" s="718"/>
      <c r="W393" s="718"/>
      <c r="X393" s="718"/>
      <c r="Y393" s="718"/>
      <c r="Z393" s="718"/>
      <c r="AA393" s="718"/>
      <c r="AB393" s="718"/>
      <c r="AC393" s="718"/>
      <c r="AD393" s="718"/>
      <c r="AE393" s="718"/>
      <c r="AF393" s="718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20"/>
      <c r="AV393" s="120"/>
      <c r="AW393" s="120"/>
      <c r="AX393" s="120"/>
      <c r="AY393" s="120"/>
      <c r="AZ393" s="120"/>
      <c r="BA393" s="120"/>
      <c r="BB393" s="120"/>
      <c r="BC393" s="120"/>
      <c r="BD393" s="120"/>
      <c r="BE393" s="120"/>
      <c r="BF393" s="120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20"/>
      <c r="BS393" s="120"/>
      <c r="BT393" s="120"/>
      <c r="BU393" s="120"/>
      <c r="BV393" s="120"/>
      <c r="BW393" s="120"/>
      <c r="BX393" s="120"/>
      <c r="BY393" s="120"/>
      <c r="BZ393" s="120"/>
      <c r="CA393" s="120"/>
      <c r="CB393" s="120"/>
      <c r="CC393" s="120"/>
      <c r="CD393" s="120"/>
      <c r="CE393" s="120"/>
      <c r="CF393" s="120"/>
      <c r="CG393" s="120"/>
      <c r="CH393" s="120"/>
      <c r="CI393" s="120"/>
      <c r="CJ393" s="120"/>
      <c r="CK393" s="120"/>
      <c r="CL393" s="120"/>
      <c r="CM393" s="120"/>
      <c r="CN393" s="120"/>
      <c r="CO393" s="120"/>
      <c r="CP393" s="120"/>
      <c r="CQ393" s="120"/>
      <c r="CR393" s="120"/>
      <c r="CS393" s="120"/>
      <c r="CT393" s="120"/>
      <c r="CU393" s="120"/>
      <c r="CV393" s="120"/>
      <c r="CW393" s="120"/>
      <c r="CX393" s="120"/>
      <c r="CY393" s="120"/>
      <c r="CZ393" s="120"/>
      <c r="DA393" s="120"/>
      <c r="DB393" s="120"/>
      <c r="DC393" s="120"/>
      <c r="DD393" s="120"/>
      <c r="DE393" s="120"/>
      <c r="DF393" s="120"/>
      <c r="DG393" s="120"/>
      <c r="DH393" s="120"/>
      <c r="DI393" s="120"/>
      <c r="DJ393" s="120"/>
      <c r="DK393" s="120"/>
      <c r="DL393" s="120"/>
      <c r="DM393" s="120"/>
      <c r="DN393" s="120"/>
      <c r="DO393" s="120"/>
      <c r="DP393" s="120"/>
      <c r="DQ393" s="120"/>
      <c r="DR393" s="120"/>
      <c r="DS393" s="120"/>
      <c r="DT393" s="120"/>
      <c r="DU393" s="120"/>
      <c r="DV393" s="120"/>
      <c r="DW393" s="120"/>
      <c r="DX393" s="120"/>
      <c r="DY393" s="120"/>
      <c r="DZ393" s="120"/>
      <c r="EA393" s="120"/>
      <c r="EB393" s="120"/>
      <c r="EC393" s="120"/>
      <c r="ED393" s="120"/>
      <c r="EE393" s="120"/>
      <c r="EF393" s="120"/>
      <c r="EG393" s="120"/>
      <c r="EH393" s="120"/>
      <c r="EI393" s="120"/>
      <c r="EJ393" s="120"/>
      <c r="EK393" s="120"/>
      <c r="EL393" s="120"/>
      <c r="EM393" s="120"/>
      <c r="EN393" s="120"/>
      <c r="EO393" s="120"/>
      <c r="EP393" s="120"/>
      <c r="EQ393" s="120"/>
      <c r="ER393" s="120"/>
      <c r="ES393" s="120"/>
      <c r="ET393" s="120"/>
      <c r="EU393" s="120"/>
      <c r="EV393" s="120"/>
      <c r="EW393" s="120"/>
      <c r="EX393" s="120"/>
      <c r="EY393" s="120"/>
      <c r="EZ393" s="120"/>
      <c r="FA393" s="120"/>
      <c r="FB393" s="120"/>
      <c r="FC393" s="120"/>
      <c r="FD393" s="120"/>
      <c r="FE393" s="120"/>
      <c r="FF393" s="120"/>
      <c r="FG393" s="120"/>
      <c r="FH393" s="120"/>
      <c r="FI393" s="120"/>
      <c r="FJ393" s="120"/>
      <c r="FK393" s="120"/>
      <c r="FL393" s="120"/>
      <c r="FM393" s="120"/>
      <c r="FN393" s="120"/>
      <c r="FO393" s="120"/>
      <c r="FP393" s="120"/>
      <c r="FQ393" s="120"/>
      <c r="FR393" s="120"/>
      <c r="FS393" s="120"/>
      <c r="FT393" s="120"/>
      <c r="FU393" s="120"/>
      <c r="FV393" s="120"/>
      <c r="FW393" s="120"/>
      <c r="FX393" s="120"/>
      <c r="FY393" s="120"/>
      <c r="FZ393" s="120"/>
      <c r="GA393" s="120"/>
      <c r="GB393" s="120"/>
      <c r="GC393" s="120"/>
      <c r="GD393" s="120"/>
      <c r="GE393" s="120"/>
      <c r="GF393" s="120"/>
      <c r="GG393" s="120"/>
      <c r="GH393" s="120"/>
      <c r="GI393" s="120"/>
      <c r="GJ393" s="120"/>
      <c r="GK393" s="120"/>
      <c r="GL393" s="120"/>
      <c r="GM393" s="120"/>
      <c r="GN393" s="120"/>
      <c r="GO393" s="120"/>
      <c r="GP393" s="120"/>
      <c r="GQ393" s="120"/>
      <c r="GR393" s="120"/>
      <c r="GS393" s="120"/>
      <c r="GT393" s="120"/>
      <c r="GU393" s="120"/>
      <c r="GV393" s="120"/>
      <c r="GW393" s="120"/>
      <c r="GX393" s="120"/>
      <c r="GY393" s="120"/>
      <c r="GZ393" s="120"/>
      <c r="HA393" s="120"/>
      <c r="HB393" s="120"/>
      <c r="HC393" s="120"/>
      <c r="HD393" s="120"/>
      <c r="HE393" s="120"/>
      <c r="HF393" s="120"/>
      <c r="HG393" s="120"/>
      <c r="HH393" s="120"/>
      <c r="HI393" s="120"/>
      <c r="HJ393" s="120"/>
      <c r="HK393" s="120"/>
      <c r="HL393" s="120"/>
      <c r="HM393" s="120"/>
      <c r="HN393" s="120"/>
      <c r="HO393" s="120"/>
      <c r="HP393" s="120"/>
      <c r="HQ393" s="120"/>
      <c r="HR393" s="120"/>
      <c r="HS393" s="120"/>
      <c r="HT393" s="120"/>
      <c r="HU393" s="120"/>
      <c r="HV393" s="120"/>
      <c r="HW393" s="120"/>
      <c r="HX393" s="120"/>
      <c r="HY393" s="120"/>
      <c r="HZ393" s="120"/>
      <c r="IA393" s="120"/>
      <c r="IB393" s="120"/>
      <c r="IC393" s="120"/>
      <c r="ID393" s="120"/>
      <c r="IE393" s="120"/>
      <c r="IF393" s="120"/>
      <c r="IG393" s="120"/>
      <c r="IH393" s="120"/>
      <c r="II393" s="120"/>
      <c r="IJ393" s="120"/>
      <c r="IK393" s="120"/>
      <c r="IL393" s="120"/>
      <c r="IM393" s="120"/>
    </row>
    <row r="394" spans="1:247" ht="82.5" customHeight="1" x14ac:dyDescent="0.25">
      <c r="B394" s="308" t="s">
        <v>171</v>
      </c>
      <c r="C394" s="54" t="s">
        <v>52</v>
      </c>
      <c r="D394" s="458">
        <v>39</v>
      </c>
      <c r="E394" s="460">
        <f>12/27*100</f>
        <v>44.444444444444443</v>
      </c>
      <c r="F394" s="64">
        <f>D394/E394*100</f>
        <v>87.75</v>
      </c>
      <c r="G394" s="688"/>
      <c r="H394" s="443" t="s">
        <v>1256</v>
      </c>
      <c r="I394" s="718"/>
      <c r="J394" s="718"/>
      <c r="K394" s="718"/>
      <c r="L394" s="718"/>
      <c r="M394" s="718"/>
      <c r="N394" s="718"/>
      <c r="O394" s="718"/>
      <c r="P394" s="718"/>
      <c r="Q394" s="718"/>
      <c r="R394" s="718"/>
      <c r="S394" s="718"/>
      <c r="T394" s="718"/>
      <c r="U394" s="718"/>
      <c r="V394" s="718"/>
      <c r="W394" s="718"/>
      <c r="X394" s="718"/>
      <c r="Y394" s="718"/>
      <c r="Z394" s="718"/>
      <c r="AA394" s="718"/>
      <c r="AB394" s="718"/>
      <c r="AC394" s="718"/>
      <c r="AD394" s="718"/>
      <c r="AE394" s="718"/>
      <c r="AF394" s="718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20"/>
      <c r="AV394" s="120"/>
      <c r="AW394" s="120"/>
      <c r="AX394" s="120"/>
      <c r="AY394" s="120"/>
      <c r="AZ394" s="120"/>
      <c r="BA394" s="120"/>
      <c r="BB394" s="120"/>
      <c r="BC394" s="120"/>
      <c r="BD394" s="120"/>
      <c r="BE394" s="120"/>
      <c r="BF394" s="120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20"/>
      <c r="BS394" s="120"/>
      <c r="BT394" s="120"/>
      <c r="BU394" s="120"/>
      <c r="BV394" s="120"/>
      <c r="BW394" s="120"/>
      <c r="BX394" s="120"/>
      <c r="BY394" s="120"/>
      <c r="BZ394" s="120"/>
      <c r="CA394" s="120"/>
      <c r="CB394" s="120"/>
      <c r="CC394" s="120"/>
      <c r="CD394" s="120"/>
      <c r="CE394" s="120"/>
      <c r="CF394" s="120"/>
      <c r="CG394" s="120"/>
      <c r="CH394" s="120"/>
      <c r="CI394" s="120"/>
      <c r="CJ394" s="120"/>
      <c r="CK394" s="120"/>
      <c r="CL394" s="120"/>
      <c r="CM394" s="120"/>
      <c r="CN394" s="120"/>
      <c r="CO394" s="120"/>
      <c r="CP394" s="120"/>
      <c r="CQ394" s="120"/>
      <c r="CR394" s="120"/>
      <c r="CS394" s="120"/>
      <c r="CT394" s="120"/>
      <c r="CU394" s="120"/>
      <c r="CV394" s="120"/>
      <c r="CW394" s="120"/>
      <c r="CX394" s="120"/>
      <c r="CY394" s="120"/>
      <c r="CZ394" s="120"/>
      <c r="DA394" s="120"/>
      <c r="DB394" s="120"/>
      <c r="DC394" s="120"/>
      <c r="DD394" s="120"/>
      <c r="DE394" s="120"/>
      <c r="DF394" s="120"/>
      <c r="DG394" s="120"/>
      <c r="DH394" s="120"/>
      <c r="DI394" s="120"/>
      <c r="DJ394" s="120"/>
      <c r="DK394" s="120"/>
      <c r="DL394" s="120"/>
      <c r="DM394" s="120"/>
      <c r="DN394" s="120"/>
      <c r="DO394" s="120"/>
      <c r="DP394" s="120"/>
      <c r="DQ394" s="120"/>
      <c r="DR394" s="120"/>
      <c r="DS394" s="120"/>
      <c r="DT394" s="120"/>
      <c r="DU394" s="120"/>
      <c r="DV394" s="120"/>
      <c r="DW394" s="120"/>
      <c r="DX394" s="120"/>
      <c r="DY394" s="120"/>
      <c r="DZ394" s="120"/>
      <c r="EA394" s="120"/>
      <c r="EB394" s="120"/>
      <c r="EC394" s="120"/>
      <c r="ED394" s="120"/>
      <c r="EE394" s="120"/>
      <c r="EF394" s="120"/>
      <c r="EG394" s="120"/>
      <c r="EH394" s="120"/>
      <c r="EI394" s="120"/>
      <c r="EJ394" s="120"/>
      <c r="EK394" s="120"/>
      <c r="EL394" s="120"/>
      <c r="EM394" s="120"/>
      <c r="EN394" s="120"/>
      <c r="EO394" s="120"/>
      <c r="EP394" s="120"/>
      <c r="EQ394" s="120"/>
      <c r="ER394" s="120"/>
      <c r="ES394" s="120"/>
      <c r="ET394" s="120"/>
      <c r="EU394" s="120"/>
      <c r="EV394" s="120"/>
      <c r="EW394" s="120"/>
      <c r="EX394" s="120"/>
      <c r="EY394" s="120"/>
      <c r="EZ394" s="120"/>
      <c r="FA394" s="120"/>
      <c r="FB394" s="120"/>
      <c r="FC394" s="120"/>
      <c r="FD394" s="120"/>
      <c r="FE394" s="120"/>
      <c r="FF394" s="120"/>
      <c r="FG394" s="120"/>
      <c r="FH394" s="120"/>
      <c r="FI394" s="120"/>
      <c r="FJ394" s="120"/>
      <c r="FK394" s="120"/>
      <c r="FL394" s="120"/>
      <c r="FM394" s="120"/>
      <c r="FN394" s="120"/>
      <c r="FO394" s="120"/>
      <c r="FP394" s="120"/>
      <c r="FQ394" s="120"/>
      <c r="FR394" s="120"/>
      <c r="FS394" s="120"/>
      <c r="FT394" s="120"/>
      <c r="FU394" s="120"/>
      <c r="FV394" s="120"/>
      <c r="FW394" s="120"/>
      <c r="FX394" s="120"/>
      <c r="FY394" s="120"/>
      <c r="FZ394" s="120"/>
      <c r="GA394" s="120"/>
      <c r="GB394" s="120"/>
      <c r="GC394" s="120"/>
      <c r="GD394" s="120"/>
      <c r="GE394" s="120"/>
      <c r="GF394" s="120"/>
      <c r="GG394" s="120"/>
      <c r="GH394" s="120"/>
      <c r="GI394" s="120"/>
      <c r="GJ394" s="120"/>
      <c r="GK394" s="120"/>
      <c r="GL394" s="120"/>
      <c r="GM394" s="120"/>
      <c r="GN394" s="120"/>
      <c r="GO394" s="120"/>
      <c r="GP394" s="120"/>
      <c r="GQ394" s="120"/>
      <c r="GR394" s="120"/>
      <c r="GS394" s="120"/>
      <c r="GT394" s="120"/>
      <c r="GU394" s="120"/>
      <c r="GV394" s="120"/>
      <c r="GW394" s="120"/>
      <c r="GX394" s="120"/>
      <c r="GY394" s="120"/>
      <c r="GZ394" s="120"/>
      <c r="HA394" s="120"/>
      <c r="HB394" s="120"/>
      <c r="HC394" s="120"/>
      <c r="HD394" s="120"/>
      <c r="HE394" s="120"/>
      <c r="HF394" s="120"/>
      <c r="HG394" s="120"/>
      <c r="HH394" s="120"/>
      <c r="HI394" s="120"/>
      <c r="HJ394" s="120"/>
      <c r="HK394" s="120"/>
      <c r="HL394" s="120"/>
      <c r="HM394" s="120"/>
      <c r="HN394" s="120"/>
      <c r="HO394" s="120"/>
      <c r="HP394" s="120"/>
      <c r="HQ394" s="120"/>
      <c r="HR394" s="120"/>
      <c r="HS394" s="120"/>
      <c r="HT394" s="120"/>
      <c r="HU394" s="120"/>
      <c r="HV394" s="120"/>
      <c r="HW394" s="120"/>
      <c r="HX394" s="120"/>
      <c r="HY394" s="120"/>
      <c r="HZ394" s="120"/>
      <c r="IA394" s="120"/>
      <c r="IB394" s="120"/>
      <c r="IC394" s="120"/>
      <c r="ID394" s="120"/>
      <c r="IE394" s="120"/>
      <c r="IF394" s="120"/>
      <c r="IG394" s="120"/>
      <c r="IH394" s="120"/>
      <c r="II394" s="120"/>
      <c r="IJ394" s="120"/>
      <c r="IK394" s="120"/>
      <c r="IL394" s="120"/>
      <c r="IM394" s="120"/>
    </row>
    <row r="395" spans="1:247" s="311" customFormat="1" ht="22.5" customHeight="1" x14ac:dyDescent="0.25">
      <c r="A395" s="678">
        <v>19</v>
      </c>
      <c r="B395" s="820" t="s">
        <v>1381</v>
      </c>
      <c r="C395" s="817"/>
      <c r="D395" s="817"/>
      <c r="E395" s="817"/>
      <c r="F395" s="817"/>
      <c r="G395" s="681">
        <f>SUM(F397:F407)/11</f>
        <v>92.727272727272734</v>
      </c>
      <c r="H395" s="708"/>
      <c r="I395" s="678"/>
      <c r="J395" s="678"/>
      <c r="K395" s="678"/>
      <c r="L395" s="678"/>
      <c r="M395" s="678"/>
      <c r="N395" s="678"/>
      <c r="O395" s="678"/>
      <c r="P395" s="678"/>
      <c r="Q395" s="678"/>
      <c r="R395" s="678"/>
      <c r="S395" s="678"/>
      <c r="T395" s="678"/>
      <c r="U395" s="678"/>
      <c r="V395" s="678"/>
      <c r="W395" s="678"/>
      <c r="X395" s="678"/>
      <c r="Y395" s="678"/>
      <c r="Z395" s="678"/>
      <c r="AA395" s="678"/>
      <c r="AB395" s="678"/>
      <c r="AC395" s="678"/>
      <c r="AD395" s="678"/>
      <c r="AE395" s="678"/>
      <c r="AF395" s="678"/>
    </row>
    <row r="396" spans="1:247" ht="21" customHeight="1" x14ac:dyDescent="0.25">
      <c r="B396" s="773" t="s">
        <v>405</v>
      </c>
      <c r="C396" s="774"/>
      <c r="D396" s="774"/>
      <c r="E396" s="774"/>
      <c r="F396" s="774"/>
      <c r="G396" s="774"/>
      <c r="H396" s="775"/>
    </row>
    <row r="397" spans="1:247" ht="120" customHeight="1" x14ac:dyDescent="0.25">
      <c r="B397" s="69" t="s">
        <v>60</v>
      </c>
      <c r="C397" s="54" t="s">
        <v>61</v>
      </c>
      <c r="D397" s="54">
        <v>10</v>
      </c>
      <c r="E397" s="140">
        <v>16</v>
      </c>
      <c r="F397" s="577">
        <v>100</v>
      </c>
      <c r="G397" s="682"/>
      <c r="H397" s="109" t="s">
        <v>1085</v>
      </c>
      <c r="I397" s="109"/>
    </row>
    <row r="398" spans="1:247" ht="31.5" x14ac:dyDescent="0.25">
      <c r="B398" s="53" t="s">
        <v>406</v>
      </c>
      <c r="C398" s="54" t="s">
        <v>61</v>
      </c>
      <c r="D398" s="54">
        <v>0</v>
      </c>
      <c r="E398" s="140">
        <v>2</v>
      </c>
      <c r="F398" s="577">
        <v>100</v>
      </c>
      <c r="G398" s="682"/>
      <c r="H398" s="109" t="s">
        <v>1086</v>
      </c>
      <c r="I398" s="109"/>
    </row>
    <row r="399" spans="1:247" ht="33.75" customHeight="1" x14ac:dyDescent="0.25">
      <c r="B399" s="53" t="s">
        <v>407</v>
      </c>
      <c r="C399" s="54" t="s">
        <v>61</v>
      </c>
      <c r="D399" s="54">
        <v>500</v>
      </c>
      <c r="E399" s="140">
        <v>500</v>
      </c>
      <c r="F399" s="577">
        <f>E399/D399*100</f>
        <v>100</v>
      </c>
      <c r="G399" s="682"/>
      <c r="H399" s="109" t="s">
        <v>1087</v>
      </c>
      <c r="I399" s="109"/>
    </row>
    <row r="400" spans="1:247" ht="31.5" x14ac:dyDescent="0.25">
      <c r="B400" s="53" t="s">
        <v>408</v>
      </c>
      <c r="C400" s="54" t="s">
        <v>61</v>
      </c>
      <c r="D400" s="54">
        <v>50</v>
      </c>
      <c r="E400" s="140">
        <v>20</v>
      </c>
      <c r="F400" s="577">
        <f>E400/D400*100</f>
        <v>40</v>
      </c>
      <c r="G400" s="682"/>
      <c r="H400" s="109" t="s">
        <v>1088</v>
      </c>
      <c r="I400" s="109"/>
    </row>
    <row r="401" spans="1:32" x14ac:dyDescent="0.25">
      <c r="B401" s="53" t="s">
        <v>62</v>
      </c>
      <c r="C401" s="54" t="s">
        <v>61</v>
      </c>
      <c r="D401" s="54">
        <v>5000</v>
      </c>
      <c r="E401" s="140">
        <v>4000</v>
      </c>
      <c r="F401" s="577">
        <f>E401/D401*100</f>
        <v>80</v>
      </c>
      <c r="G401" s="682"/>
      <c r="H401" s="109" t="s">
        <v>1089</v>
      </c>
      <c r="I401" s="109"/>
    </row>
    <row r="402" spans="1:32" ht="33.75" customHeight="1" x14ac:dyDescent="0.25">
      <c r="B402" s="53" t="s">
        <v>63</v>
      </c>
      <c r="C402" s="54" t="s">
        <v>61</v>
      </c>
      <c r="D402" s="54">
        <v>150</v>
      </c>
      <c r="E402" s="140">
        <v>150</v>
      </c>
      <c r="F402" s="577">
        <f>E402/D402*100</f>
        <v>100</v>
      </c>
      <c r="G402" s="682"/>
      <c r="H402" s="109" t="s">
        <v>1090</v>
      </c>
      <c r="I402" s="109"/>
    </row>
    <row r="403" spans="1:32" ht="31.5" x14ac:dyDescent="0.25">
      <c r="B403" s="56" t="s">
        <v>64</v>
      </c>
      <c r="C403" s="54" t="s">
        <v>61</v>
      </c>
      <c r="D403" s="54">
        <v>22</v>
      </c>
      <c r="E403" s="140">
        <v>61</v>
      </c>
      <c r="F403" s="577">
        <v>100</v>
      </c>
      <c r="G403" s="682"/>
      <c r="H403" s="109" t="s">
        <v>1091</v>
      </c>
      <c r="I403" s="109"/>
    </row>
    <row r="404" spans="1:32" ht="31.5" x14ac:dyDescent="0.25">
      <c r="B404" s="56" t="s">
        <v>65</v>
      </c>
      <c r="C404" s="50" t="s">
        <v>66</v>
      </c>
      <c r="D404" s="54">
        <v>910</v>
      </c>
      <c r="E404" s="140">
        <v>1300</v>
      </c>
      <c r="F404" s="577">
        <v>100</v>
      </c>
      <c r="G404" s="682"/>
      <c r="H404" s="109" t="s">
        <v>1092</v>
      </c>
      <c r="I404" s="109"/>
    </row>
    <row r="405" spans="1:32" x14ac:dyDescent="0.25">
      <c r="B405" s="56" t="s">
        <v>67</v>
      </c>
      <c r="C405" s="50" t="s">
        <v>66</v>
      </c>
      <c r="D405" s="54">
        <v>19</v>
      </c>
      <c r="E405" s="140">
        <v>21</v>
      </c>
      <c r="F405" s="577">
        <v>100</v>
      </c>
      <c r="G405" s="682"/>
      <c r="H405" s="109" t="s">
        <v>1316</v>
      </c>
      <c r="I405" s="109"/>
    </row>
    <row r="406" spans="1:32" ht="47.25" x14ac:dyDescent="0.25">
      <c r="B406" s="56" t="s">
        <v>409</v>
      </c>
      <c r="C406" s="50" t="s">
        <v>68</v>
      </c>
      <c r="D406" s="54">
        <v>0</v>
      </c>
      <c r="E406" s="578">
        <v>5.14229</v>
      </c>
      <c r="F406" s="577">
        <v>100</v>
      </c>
      <c r="G406" s="682"/>
      <c r="H406" s="393" t="s">
        <v>1093</v>
      </c>
      <c r="I406" s="393"/>
    </row>
    <row r="407" spans="1:32" ht="47.25" x14ac:dyDescent="0.25">
      <c r="B407" s="56" t="s">
        <v>410</v>
      </c>
      <c r="C407" s="50" t="s">
        <v>68</v>
      </c>
      <c r="D407" s="54">
        <v>0</v>
      </c>
      <c r="E407" s="579">
        <v>2190.63724</v>
      </c>
      <c r="F407" s="577">
        <v>100</v>
      </c>
      <c r="G407" s="682"/>
      <c r="H407" s="388" t="s">
        <v>1094</v>
      </c>
      <c r="I407" s="388"/>
    </row>
    <row r="408" spans="1:32" s="311" customFormat="1" ht="32.25" customHeight="1" x14ac:dyDescent="0.25">
      <c r="A408" s="678">
        <v>20</v>
      </c>
      <c r="B408" s="820" t="s">
        <v>1377</v>
      </c>
      <c r="C408" s="821"/>
      <c r="D408" s="822"/>
      <c r="E408" s="822"/>
      <c r="F408" s="821"/>
      <c r="G408" s="691">
        <f>SUM(F413+F417+F418+F423+F427+F414+F415+F420+F421+F429+F430+F432+F433+F411+F424+F425)/16</f>
        <v>87.5</v>
      </c>
      <c r="H408" s="708"/>
      <c r="I408" s="678"/>
      <c r="J408" s="678"/>
      <c r="K408" s="678"/>
      <c r="L408" s="678"/>
      <c r="M408" s="678"/>
      <c r="N408" s="678"/>
      <c r="O408" s="678"/>
      <c r="P408" s="678"/>
      <c r="Q408" s="678"/>
      <c r="R408" s="678"/>
      <c r="S408" s="678"/>
      <c r="T408" s="678"/>
      <c r="U408" s="678"/>
      <c r="V408" s="678"/>
      <c r="W408" s="678"/>
      <c r="X408" s="678"/>
      <c r="Y408" s="678"/>
      <c r="Z408" s="678"/>
      <c r="AA408" s="678"/>
      <c r="AB408" s="678"/>
      <c r="AC408" s="678"/>
      <c r="AD408" s="678"/>
      <c r="AE408" s="678"/>
      <c r="AF408" s="678"/>
    </row>
    <row r="409" spans="1:32" ht="55.5" customHeight="1" x14ac:dyDescent="0.25">
      <c r="B409" s="773" t="s">
        <v>1339</v>
      </c>
      <c r="C409" s="774"/>
      <c r="D409" s="774"/>
      <c r="E409" s="774"/>
      <c r="F409" s="774"/>
      <c r="G409" s="774"/>
      <c r="H409" s="775"/>
    </row>
    <row r="410" spans="1:32" ht="24" customHeight="1" x14ac:dyDescent="0.25">
      <c r="B410" s="813" t="s">
        <v>411</v>
      </c>
      <c r="C410" s="814"/>
      <c r="D410" s="814"/>
      <c r="E410" s="814"/>
      <c r="F410" s="815"/>
      <c r="G410" s="704"/>
    </row>
    <row r="411" spans="1:32" x14ac:dyDescent="0.25">
      <c r="B411" s="139" t="s">
        <v>412</v>
      </c>
      <c r="C411" s="50" t="s">
        <v>52</v>
      </c>
      <c r="D411" s="50">
        <v>80</v>
      </c>
      <c r="E411" s="50">
        <v>97</v>
      </c>
      <c r="F411" s="40">
        <v>100</v>
      </c>
      <c r="G411" s="682"/>
      <c r="H411" s="109" t="s">
        <v>413</v>
      </c>
    </row>
    <row r="412" spans="1:32" x14ac:dyDescent="0.25">
      <c r="B412" s="813" t="s">
        <v>414</v>
      </c>
      <c r="C412" s="814"/>
      <c r="D412" s="814"/>
      <c r="E412" s="814"/>
      <c r="F412" s="815"/>
      <c r="G412" s="704"/>
    </row>
    <row r="413" spans="1:32" ht="36" customHeight="1" x14ac:dyDescent="0.25">
      <c r="B413" s="139" t="s">
        <v>415</v>
      </c>
      <c r="C413" s="50" t="s">
        <v>1270</v>
      </c>
      <c r="D413" s="50" t="s">
        <v>416</v>
      </c>
      <c r="E413" s="50" t="s">
        <v>1269</v>
      </c>
      <c r="F413" s="40">
        <v>100</v>
      </c>
      <c r="G413" s="704"/>
    </row>
    <row r="414" spans="1:32" ht="36" customHeight="1" x14ac:dyDescent="0.25">
      <c r="B414" s="139" t="s">
        <v>417</v>
      </c>
      <c r="C414" s="50" t="s">
        <v>418</v>
      </c>
      <c r="D414" s="50" t="s">
        <v>419</v>
      </c>
      <c r="E414" s="50" t="s">
        <v>419</v>
      </c>
      <c r="F414" s="40">
        <v>100</v>
      </c>
      <c r="G414" s="704"/>
    </row>
    <row r="415" spans="1:32" ht="47.25" x14ac:dyDescent="0.25">
      <c r="B415" s="139" t="s">
        <v>420</v>
      </c>
      <c r="C415" s="50" t="s">
        <v>418</v>
      </c>
      <c r="D415" s="50" t="s">
        <v>419</v>
      </c>
      <c r="E415" s="50" t="s">
        <v>419</v>
      </c>
      <c r="F415" s="40">
        <v>100</v>
      </c>
      <c r="G415" s="704"/>
    </row>
    <row r="416" spans="1:32" x14ac:dyDescent="0.25">
      <c r="B416" s="813" t="s">
        <v>421</v>
      </c>
      <c r="C416" s="814"/>
      <c r="D416" s="814"/>
      <c r="E416" s="814"/>
      <c r="F416" s="815"/>
      <c r="G416" s="704"/>
    </row>
    <row r="417" spans="2:8" ht="50.25" customHeight="1" x14ac:dyDescent="0.25">
      <c r="B417" s="139" t="s">
        <v>422</v>
      </c>
      <c r="C417" s="50" t="s">
        <v>423</v>
      </c>
      <c r="D417" s="50" t="s">
        <v>419</v>
      </c>
      <c r="E417" s="50" t="s">
        <v>419</v>
      </c>
      <c r="F417" s="40">
        <v>100</v>
      </c>
      <c r="G417" s="704"/>
    </row>
    <row r="418" spans="2:8" ht="55.5" customHeight="1" x14ac:dyDescent="0.25">
      <c r="B418" s="139" t="s">
        <v>424</v>
      </c>
      <c r="C418" s="50" t="s">
        <v>423</v>
      </c>
      <c r="D418" s="50" t="s">
        <v>419</v>
      </c>
      <c r="E418" s="50" t="s">
        <v>419</v>
      </c>
      <c r="F418" s="40">
        <v>100</v>
      </c>
      <c r="G418" s="704"/>
    </row>
    <row r="419" spans="2:8" x14ac:dyDescent="0.25">
      <c r="B419" s="813" t="s">
        <v>425</v>
      </c>
      <c r="C419" s="814"/>
      <c r="D419" s="814"/>
      <c r="E419" s="814"/>
      <c r="F419" s="815"/>
      <c r="G419" s="704"/>
    </row>
    <row r="420" spans="2:8" ht="74.25" customHeight="1" x14ac:dyDescent="0.25">
      <c r="B420" s="139" t="s">
        <v>426</v>
      </c>
      <c r="C420" s="50" t="s">
        <v>423</v>
      </c>
      <c r="D420" s="50" t="s">
        <v>419</v>
      </c>
      <c r="E420" s="50" t="s">
        <v>427</v>
      </c>
      <c r="F420" s="40">
        <v>0</v>
      </c>
      <c r="G420" s="704"/>
      <c r="H420" s="109" t="s">
        <v>1410</v>
      </c>
    </row>
    <row r="421" spans="2:8" ht="36" customHeight="1" x14ac:dyDescent="0.25">
      <c r="B421" s="139" t="s">
        <v>428</v>
      </c>
      <c r="C421" s="50" t="s">
        <v>423</v>
      </c>
      <c r="D421" s="50" t="s">
        <v>419</v>
      </c>
      <c r="E421" s="50" t="s">
        <v>419</v>
      </c>
      <c r="F421" s="40">
        <v>100</v>
      </c>
      <c r="G421" s="704"/>
    </row>
    <row r="422" spans="2:8" x14ac:dyDescent="0.25">
      <c r="B422" s="813" t="s">
        <v>429</v>
      </c>
      <c r="C422" s="814"/>
      <c r="D422" s="814"/>
      <c r="E422" s="814"/>
      <c r="F422" s="815"/>
      <c r="G422" s="704"/>
    </row>
    <row r="423" spans="2:8" ht="63" x14ac:dyDescent="0.25">
      <c r="B423" s="139" t="s">
        <v>430</v>
      </c>
      <c r="C423" s="50" t="s">
        <v>52</v>
      </c>
      <c r="D423" s="50" t="s">
        <v>431</v>
      </c>
      <c r="E423" s="50">
        <v>54.53</v>
      </c>
      <c r="F423" s="40">
        <v>100</v>
      </c>
      <c r="G423" s="704"/>
    </row>
    <row r="424" spans="2:8" ht="47.25" x14ac:dyDescent="0.25">
      <c r="B424" s="139" t="s">
        <v>432</v>
      </c>
      <c r="C424" s="50" t="s">
        <v>52</v>
      </c>
      <c r="D424" s="50" t="s">
        <v>433</v>
      </c>
      <c r="E424" s="50">
        <v>100</v>
      </c>
      <c r="F424" s="40">
        <v>100</v>
      </c>
      <c r="G424" s="704"/>
    </row>
    <row r="425" spans="2:8" ht="31.5" x14ac:dyDescent="0.25">
      <c r="B425" s="139" t="s">
        <v>434</v>
      </c>
      <c r="C425" s="50" t="s">
        <v>52</v>
      </c>
      <c r="D425" s="50" t="s">
        <v>435</v>
      </c>
      <c r="E425" s="50">
        <v>9.23</v>
      </c>
      <c r="F425" s="40">
        <v>100</v>
      </c>
      <c r="G425" s="704"/>
    </row>
    <row r="426" spans="2:8" x14ac:dyDescent="0.25">
      <c r="B426" s="813" t="s">
        <v>436</v>
      </c>
      <c r="C426" s="814"/>
      <c r="D426" s="814"/>
      <c r="E426" s="814"/>
      <c r="F426" s="815"/>
      <c r="G426" s="704"/>
    </row>
    <row r="427" spans="2:8" ht="47.25" x14ac:dyDescent="0.25">
      <c r="B427" s="139" t="s">
        <v>437</v>
      </c>
      <c r="C427" s="50" t="s">
        <v>418</v>
      </c>
      <c r="D427" s="50" t="s">
        <v>419</v>
      </c>
      <c r="E427" s="50" t="s">
        <v>427</v>
      </c>
      <c r="F427" s="40">
        <v>0</v>
      </c>
      <c r="G427" s="704"/>
      <c r="H427" s="726" t="s">
        <v>1411</v>
      </c>
    </row>
    <row r="428" spans="2:8" x14ac:dyDescent="0.25">
      <c r="B428" s="813" t="s">
        <v>438</v>
      </c>
      <c r="C428" s="814"/>
      <c r="D428" s="814"/>
      <c r="E428" s="814"/>
      <c r="F428" s="815"/>
      <c r="G428" s="704"/>
    </row>
    <row r="429" spans="2:8" ht="36" customHeight="1" x14ac:dyDescent="0.25">
      <c r="B429" s="139" t="s">
        <v>439</v>
      </c>
      <c r="C429" s="50" t="s">
        <v>53</v>
      </c>
      <c r="D429" s="342">
        <v>10</v>
      </c>
      <c r="E429" s="342">
        <v>10</v>
      </c>
      <c r="F429" s="439">
        <v>100</v>
      </c>
      <c r="G429" s="704"/>
      <c r="H429" s="109" t="s">
        <v>413</v>
      </c>
    </row>
    <row r="430" spans="2:8" ht="45.75" customHeight="1" x14ac:dyDescent="0.25">
      <c r="B430" s="139" t="s">
        <v>440</v>
      </c>
      <c r="C430" s="50" t="s">
        <v>52</v>
      </c>
      <c r="D430" s="342">
        <v>80</v>
      </c>
      <c r="E430" s="342">
        <v>100</v>
      </c>
      <c r="F430" s="439">
        <v>100</v>
      </c>
      <c r="G430" s="704"/>
      <c r="H430" s="109" t="s">
        <v>413</v>
      </c>
    </row>
    <row r="431" spans="2:8" x14ac:dyDescent="0.25">
      <c r="B431" s="813" t="s">
        <v>441</v>
      </c>
      <c r="C431" s="814"/>
      <c r="D431" s="814"/>
      <c r="E431" s="814"/>
      <c r="F431" s="815"/>
      <c r="G431" s="704"/>
    </row>
    <row r="432" spans="2:8" ht="66.75" customHeight="1" x14ac:dyDescent="0.25">
      <c r="B432" s="139" t="s">
        <v>442</v>
      </c>
      <c r="C432" s="50" t="s">
        <v>52</v>
      </c>
      <c r="D432" s="50">
        <v>100</v>
      </c>
      <c r="E432" s="50">
        <v>100</v>
      </c>
      <c r="F432" s="40">
        <v>100</v>
      </c>
      <c r="G432" s="704"/>
    </row>
    <row r="433" spans="1:247" ht="59.25" customHeight="1" x14ac:dyDescent="0.25">
      <c r="B433" s="139" t="s">
        <v>443</v>
      </c>
      <c r="C433" s="50" t="s">
        <v>52</v>
      </c>
      <c r="D433" s="50">
        <v>30</v>
      </c>
      <c r="E433" s="50">
        <v>34.299999999999997</v>
      </c>
      <c r="F433" s="118">
        <v>100</v>
      </c>
      <c r="G433" s="704"/>
    </row>
    <row r="434" spans="1:247" s="311" customFormat="1" ht="21.75" customHeight="1" x14ac:dyDescent="0.25">
      <c r="A434" s="678">
        <v>21</v>
      </c>
      <c r="B434" s="816" t="s">
        <v>1388</v>
      </c>
      <c r="C434" s="817"/>
      <c r="D434" s="817"/>
      <c r="E434" s="817"/>
      <c r="F434" s="817"/>
      <c r="G434" s="681">
        <f>SUM(F436+F437+F438+F440+F439)/5</f>
        <v>73.311072056239013</v>
      </c>
      <c r="H434" s="708"/>
      <c r="I434" s="678"/>
      <c r="J434" s="678"/>
      <c r="K434" s="678"/>
      <c r="L434" s="678"/>
      <c r="M434" s="678"/>
      <c r="N434" s="678"/>
      <c r="O434" s="678"/>
      <c r="P434" s="678"/>
      <c r="Q434" s="678"/>
      <c r="R434" s="678"/>
      <c r="S434" s="678"/>
      <c r="T434" s="678"/>
      <c r="U434" s="678"/>
      <c r="V434" s="678"/>
      <c r="W434" s="678"/>
      <c r="X434" s="678"/>
      <c r="Y434" s="678"/>
      <c r="Z434" s="678"/>
      <c r="AA434" s="678"/>
      <c r="AB434" s="678"/>
      <c r="AC434" s="678"/>
      <c r="AD434" s="678"/>
      <c r="AE434" s="678"/>
      <c r="AF434" s="678"/>
    </row>
    <row r="435" spans="1:247" ht="62.25" customHeight="1" x14ac:dyDescent="0.25">
      <c r="B435" s="773" t="s">
        <v>1275</v>
      </c>
      <c r="C435" s="774"/>
      <c r="D435" s="774"/>
      <c r="E435" s="774"/>
      <c r="F435" s="774"/>
      <c r="G435" s="774"/>
      <c r="H435" s="775"/>
    </row>
    <row r="436" spans="1:247" ht="20.25" customHeight="1" x14ac:dyDescent="0.25">
      <c r="B436" s="94" t="s">
        <v>444</v>
      </c>
      <c r="C436" s="50" t="s">
        <v>85</v>
      </c>
      <c r="D436" s="50">
        <v>4</v>
      </c>
      <c r="E436" s="40">
        <v>4</v>
      </c>
      <c r="F436" s="44">
        <f>SUM(E436/D436*100)</f>
        <v>100</v>
      </c>
      <c r="G436" s="682"/>
    </row>
    <row r="437" spans="1:247" ht="80.25" customHeight="1" x14ac:dyDescent="0.25">
      <c r="B437" s="94" t="s">
        <v>445</v>
      </c>
      <c r="C437" s="50" t="s">
        <v>85</v>
      </c>
      <c r="D437" s="50">
        <v>10</v>
      </c>
      <c r="E437" s="40">
        <v>3</v>
      </c>
      <c r="F437" s="44">
        <f>SUM(E437/D437*100)</f>
        <v>30</v>
      </c>
      <c r="G437" s="682"/>
      <c r="H437" s="721" t="s">
        <v>1264</v>
      </c>
    </row>
    <row r="438" spans="1:247" ht="31.5" x14ac:dyDescent="0.25">
      <c r="B438" s="94" t="s">
        <v>446</v>
      </c>
      <c r="C438" s="50" t="s">
        <v>226</v>
      </c>
      <c r="D438" s="50">
        <v>52.5</v>
      </c>
      <c r="E438" s="40">
        <v>52.5</v>
      </c>
      <c r="F438" s="44">
        <f>SUM(E438/D438*100)</f>
        <v>100</v>
      </c>
      <c r="G438" s="682"/>
      <c r="H438" s="722"/>
    </row>
    <row r="439" spans="1:247" ht="111" customHeight="1" x14ac:dyDescent="0.25">
      <c r="B439" s="94" t="s">
        <v>447</v>
      </c>
      <c r="C439" s="50" t="s">
        <v>85</v>
      </c>
      <c r="D439" s="50">
        <v>1138</v>
      </c>
      <c r="E439" s="40">
        <v>416</v>
      </c>
      <c r="F439" s="44">
        <f>E439/D439*100</f>
        <v>36.555360281195078</v>
      </c>
      <c r="G439" s="682"/>
      <c r="H439" s="109" t="s">
        <v>1265</v>
      </c>
    </row>
    <row r="440" spans="1:247" ht="31.5" x14ac:dyDescent="0.25">
      <c r="B440" s="94" t="s">
        <v>448</v>
      </c>
      <c r="C440" s="50" t="s">
        <v>85</v>
      </c>
      <c r="D440" s="50">
        <v>3</v>
      </c>
      <c r="E440" s="40">
        <v>3</v>
      </c>
      <c r="F440" s="44">
        <f>SUM(E440/D440*100)</f>
        <v>100</v>
      </c>
      <c r="G440" s="682"/>
    </row>
    <row r="441" spans="1:247" s="311" customFormat="1" ht="22.5" customHeight="1" x14ac:dyDescent="0.25">
      <c r="A441" s="678">
        <v>22</v>
      </c>
      <c r="B441" s="818" t="s">
        <v>1396</v>
      </c>
      <c r="C441" s="819"/>
      <c r="D441" s="819"/>
      <c r="E441" s="819"/>
      <c r="F441" s="819"/>
      <c r="G441" s="681">
        <f>SUM(F443+F444+F448)/3</f>
        <v>70.875420875420872</v>
      </c>
      <c r="H441" s="708"/>
      <c r="I441" s="678"/>
      <c r="J441" s="678"/>
      <c r="K441" s="678"/>
      <c r="L441" s="678"/>
      <c r="M441" s="678"/>
      <c r="N441" s="678"/>
      <c r="O441" s="678"/>
      <c r="P441" s="678"/>
      <c r="Q441" s="678"/>
      <c r="R441" s="678"/>
      <c r="S441" s="678"/>
      <c r="T441" s="678"/>
      <c r="U441" s="678"/>
      <c r="V441" s="678"/>
      <c r="W441" s="678"/>
      <c r="X441" s="678"/>
      <c r="Y441" s="678"/>
      <c r="Z441" s="678"/>
      <c r="AA441" s="678"/>
      <c r="AB441" s="678"/>
      <c r="AC441" s="678"/>
      <c r="AD441" s="678"/>
      <c r="AE441" s="678"/>
      <c r="AF441" s="678"/>
    </row>
    <row r="442" spans="1:247" ht="46.5" customHeight="1" x14ac:dyDescent="0.25">
      <c r="B442" s="776" t="s">
        <v>449</v>
      </c>
      <c r="C442" s="777"/>
      <c r="D442" s="777"/>
      <c r="E442" s="777"/>
      <c r="F442" s="777"/>
      <c r="G442" s="777"/>
      <c r="H442" s="778"/>
    </row>
    <row r="443" spans="1:247" ht="34.5" customHeight="1" x14ac:dyDescent="0.25">
      <c r="B443" s="94" t="s">
        <v>450</v>
      </c>
      <c r="C443" s="50" t="s">
        <v>66</v>
      </c>
      <c r="D443" s="50">
        <v>1.24</v>
      </c>
      <c r="E443" s="140">
        <v>1.24</v>
      </c>
      <c r="F443" s="44">
        <f>SUM(E443/D443*100)</f>
        <v>100</v>
      </c>
      <c r="G443" s="682"/>
    </row>
    <row r="444" spans="1:247" ht="39" customHeight="1" x14ac:dyDescent="0.25">
      <c r="B444" s="94" t="s">
        <v>451</v>
      </c>
      <c r="C444" s="50" t="s">
        <v>52</v>
      </c>
      <c r="D444" s="50">
        <v>75.099999999999994</v>
      </c>
      <c r="E444" s="141">
        <v>83.9</v>
      </c>
      <c r="F444" s="44">
        <v>100</v>
      </c>
      <c r="G444" s="682"/>
    </row>
    <row r="445" spans="1:247" ht="80.25" customHeight="1" x14ac:dyDescent="0.25">
      <c r="B445" s="94" t="s">
        <v>452</v>
      </c>
      <c r="C445" s="50" t="s">
        <v>52</v>
      </c>
      <c r="D445" s="50">
        <v>0</v>
      </c>
      <c r="E445" s="40">
        <v>0</v>
      </c>
      <c r="F445" s="44"/>
      <c r="G445" s="682"/>
    </row>
    <row r="446" spans="1:247" s="37" customFormat="1" ht="15.75" customHeight="1" x14ac:dyDescent="0.25">
      <c r="A446" s="137" t="s">
        <v>46</v>
      </c>
      <c r="B446" s="809" t="s">
        <v>453</v>
      </c>
      <c r="C446" s="810"/>
      <c r="D446" s="810"/>
      <c r="E446" s="810"/>
      <c r="F446" s="810"/>
      <c r="G446" s="811"/>
      <c r="H446" s="723"/>
      <c r="I446" s="720"/>
      <c r="J446" s="720"/>
      <c r="K446" s="720"/>
      <c r="L446" s="720"/>
      <c r="M446" s="720"/>
      <c r="N446" s="720"/>
      <c r="O446" s="720"/>
      <c r="P446" s="720"/>
      <c r="Q446" s="720"/>
      <c r="R446" s="720"/>
      <c r="S446" s="720"/>
      <c r="T446" s="720"/>
      <c r="U446" s="720"/>
      <c r="V446" s="720"/>
      <c r="W446" s="720"/>
      <c r="X446" s="720"/>
      <c r="Y446" s="720"/>
      <c r="Z446" s="720"/>
      <c r="AA446" s="720"/>
      <c r="AB446" s="720"/>
      <c r="AC446" s="720"/>
      <c r="AD446" s="720"/>
      <c r="AE446" s="720"/>
      <c r="AF446" s="720"/>
      <c r="AG446" s="138"/>
      <c r="AH446" s="138"/>
      <c r="AI446" s="138"/>
      <c r="AJ446" s="138"/>
      <c r="AK446" s="138"/>
      <c r="AL446" s="138"/>
      <c r="AM446" s="138"/>
      <c r="AN446" s="138"/>
      <c r="AO446" s="138"/>
      <c r="AP446" s="138"/>
      <c r="AQ446" s="138"/>
      <c r="AR446" s="138"/>
      <c r="AS446" s="138"/>
      <c r="AT446" s="138"/>
      <c r="AU446" s="138"/>
      <c r="AV446" s="138"/>
      <c r="AW446" s="138"/>
      <c r="AX446" s="138"/>
      <c r="AY446" s="138"/>
      <c r="AZ446" s="138"/>
      <c r="BA446" s="138"/>
      <c r="BB446" s="138"/>
      <c r="BC446" s="138"/>
      <c r="BD446" s="138"/>
      <c r="BE446" s="138"/>
      <c r="BF446" s="138"/>
      <c r="BG446" s="138"/>
      <c r="BH446" s="138"/>
      <c r="BI446" s="138"/>
      <c r="BJ446" s="138"/>
      <c r="BK446" s="138"/>
      <c r="BL446" s="138"/>
      <c r="BM446" s="138"/>
      <c r="BN446" s="138"/>
      <c r="BO446" s="138"/>
      <c r="BP446" s="138"/>
      <c r="BQ446" s="138"/>
      <c r="BR446" s="138"/>
      <c r="BS446" s="138"/>
      <c r="BT446" s="138"/>
      <c r="BU446" s="138"/>
      <c r="BV446" s="138"/>
      <c r="BW446" s="138"/>
      <c r="BX446" s="138"/>
      <c r="BY446" s="138"/>
      <c r="BZ446" s="138"/>
      <c r="CA446" s="138"/>
      <c r="CB446" s="138"/>
      <c r="CC446" s="138"/>
      <c r="CD446" s="138"/>
      <c r="CE446" s="138"/>
      <c r="CF446" s="138"/>
      <c r="CG446" s="138"/>
      <c r="CH446" s="138"/>
      <c r="CI446" s="138"/>
      <c r="CJ446" s="138"/>
      <c r="CK446" s="138"/>
      <c r="CL446" s="138"/>
      <c r="CM446" s="138"/>
      <c r="CN446" s="138"/>
      <c r="CO446" s="138"/>
      <c r="CP446" s="138"/>
      <c r="CQ446" s="138"/>
      <c r="CR446" s="138"/>
      <c r="CS446" s="138"/>
      <c r="CT446" s="138"/>
      <c r="CU446" s="138"/>
      <c r="CV446" s="138"/>
      <c r="CW446" s="138"/>
      <c r="CX446" s="138"/>
      <c r="CY446" s="138"/>
      <c r="CZ446" s="138"/>
      <c r="DA446" s="138"/>
      <c r="DB446" s="138"/>
      <c r="DC446" s="138"/>
      <c r="DD446" s="138"/>
      <c r="DE446" s="138"/>
      <c r="DF446" s="138"/>
      <c r="DG446" s="138"/>
      <c r="DH446" s="138"/>
      <c r="DI446" s="138"/>
      <c r="DJ446" s="138"/>
      <c r="DK446" s="138"/>
      <c r="DL446" s="138"/>
      <c r="DM446" s="138"/>
      <c r="DN446" s="138"/>
      <c r="DO446" s="138"/>
      <c r="DP446" s="138"/>
      <c r="DQ446" s="138"/>
      <c r="DR446" s="138"/>
      <c r="DS446" s="138"/>
      <c r="DT446" s="138"/>
      <c r="DU446" s="138"/>
      <c r="DV446" s="138"/>
      <c r="DW446" s="138"/>
      <c r="DX446" s="138"/>
      <c r="DY446" s="138"/>
      <c r="DZ446" s="138"/>
      <c r="EA446" s="138"/>
      <c r="EB446" s="138"/>
      <c r="EC446" s="138"/>
      <c r="ED446" s="138"/>
      <c r="EE446" s="138"/>
      <c r="EF446" s="138"/>
      <c r="EG446" s="138"/>
      <c r="EH446" s="138"/>
      <c r="EI446" s="138"/>
      <c r="EJ446" s="138"/>
      <c r="EK446" s="138"/>
      <c r="EL446" s="138"/>
      <c r="EM446" s="138"/>
      <c r="EN446" s="138"/>
      <c r="EO446" s="138"/>
      <c r="EP446" s="138"/>
      <c r="EQ446" s="138"/>
      <c r="ER446" s="138"/>
      <c r="ES446" s="138"/>
      <c r="ET446" s="138"/>
      <c r="EU446" s="138"/>
      <c r="EV446" s="138"/>
      <c r="EW446" s="138"/>
      <c r="EX446" s="138"/>
      <c r="EY446" s="138"/>
      <c r="EZ446" s="138"/>
      <c r="FA446" s="138"/>
      <c r="FB446" s="138"/>
      <c r="FC446" s="138"/>
      <c r="FD446" s="138"/>
      <c r="FE446" s="138"/>
      <c r="FF446" s="138"/>
      <c r="FG446" s="138"/>
      <c r="FH446" s="138"/>
      <c r="FI446" s="138"/>
      <c r="FJ446" s="138"/>
      <c r="FK446" s="138"/>
      <c r="FL446" s="138"/>
      <c r="FM446" s="138"/>
      <c r="FN446" s="138"/>
      <c r="FO446" s="138"/>
      <c r="FP446" s="138"/>
      <c r="FQ446" s="138"/>
      <c r="FR446" s="138"/>
      <c r="FS446" s="138"/>
      <c r="FT446" s="138"/>
      <c r="FU446" s="138"/>
      <c r="FV446" s="138"/>
      <c r="FW446" s="138"/>
      <c r="FX446" s="138"/>
      <c r="FY446" s="138"/>
      <c r="FZ446" s="138"/>
      <c r="GA446" s="138"/>
      <c r="GB446" s="138"/>
      <c r="GC446" s="138"/>
      <c r="GD446" s="138"/>
      <c r="GE446" s="138"/>
      <c r="GF446" s="138"/>
      <c r="GG446" s="138"/>
      <c r="GH446" s="138"/>
      <c r="GI446" s="138"/>
      <c r="GJ446" s="138"/>
      <c r="GK446" s="138"/>
      <c r="GL446" s="138"/>
      <c r="GM446" s="138"/>
      <c r="GN446" s="138"/>
      <c r="GO446" s="138"/>
      <c r="GP446" s="138"/>
      <c r="GQ446" s="138"/>
      <c r="GR446" s="138"/>
      <c r="GS446" s="138"/>
      <c r="GT446" s="138"/>
      <c r="GU446" s="138"/>
      <c r="GV446" s="138"/>
      <c r="GW446" s="138"/>
      <c r="GX446" s="138"/>
      <c r="GY446" s="138"/>
      <c r="GZ446" s="138"/>
      <c r="HA446" s="138"/>
      <c r="HB446" s="138"/>
      <c r="HC446" s="138"/>
      <c r="HD446" s="138"/>
      <c r="HE446" s="138"/>
      <c r="HF446" s="138"/>
      <c r="HG446" s="138"/>
      <c r="HH446" s="138"/>
      <c r="HI446" s="138"/>
      <c r="HJ446" s="138"/>
      <c r="HK446" s="138"/>
      <c r="HL446" s="138"/>
      <c r="HM446" s="138"/>
      <c r="HN446" s="138"/>
      <c r="HO446" s="138"/>
      <c r="HP446" s="138"/>
      <c r="HQ446" s="138"/>
      <c r="HR446" s="138"/>
      <c r="HS446" s="138"/>
      <c r="HT446" s="138"/>
      <c r="HU446" s="138"/>
      <c r="HV446" s="138"/>
      <c r="HW446" s="138"/>
      <c r="HX446" s="138"/>
      <c r="HY446" s="138"/>
      <c r="HZ446" s="138"/>
      <c r="IA446" s="138"/>
      <c r="IB446" s="138"/>
      <c r="IC446" s="138"/>
      <c r="ID446" s="138"/>
      <c r="IE446" s="138"/>
      <c r="IF446" s="138"/>
      <c r="IG446" s="138"/>
      <c r="IH446" s="138"/>
      <c r="II446" s="138"/>
      <c r="IJ446" s="138"/>
      <c r="IK446" s="138"/>
      <c r="IL446" s="138"/>
      <c r="IM446" s="138"/>
    </row>
    <row r="447" spans="1:247" ht="15.75" customHeight="1" x14ac:dyDescent="0.25">
      <c r="B447" s="809" t="s">
        <v>454</v>
      </c>
      <c r="C447" s="810"/>
      <c r="D447" s="810"/>
      <c r="E447" s="810"/>
      <c r="F447" s="810"/>
      <c r="G447" s="811"/>
      <c r="H447" s="717"/>
      <c r="I447" s="718"/>
      <c r="J447" s="718"/>
      <c r="K447" s="718"/>
      <c r="L447" s="718"/>
      <c r="M447" s="718"/>
      <c r="N447" s="718"/>
      <c r="O447" s="718"/>
      <c r="P447" s="718"/>
      <c r="Q447" s="718"/>
      <c r="R447" s="718"/>
      <c r="S447" s="718"/>
      <c r="T447" s="718"/>
      <c r="U447" s="718"/>
      <c r="V447" s="718"/>
      <c r="W447" s="718"/>
      <c r="X447" s="718"/>
      <c r="Y447" s="718"/>
      <c r="Z447" s="718"/>
      <c r="AA447" s="718"/>
      <c r="AB447" s="718"/>
      <c r="AC447" s="718"/>
      <c r="AD447" s="718"/>
      <c r="AE447" s="718"/>
      <c r="AF447" s="718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20"/>
      <c r="AV447" s="120"/>
      <c r="AW447" s="120"/>
      <c r="AX447" s="120"/>
      <c r="AY447" s="120"/>
      <c r="AZ447" s="120"/>
      <c r="BA447" s="120"/>
      <c r="BB447" s="120"/>
      <c r="BC447" s="120"/>
      <c r="BD447" s="120"/>
      <c r="BE447" s="120"/>
      <c r="BF447" s="120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20"/>
      <c r="BS447" s="120"/>
      <c r="BT447" s="120"/>
      <c r="BU447" s="120"/>
      <c r="BV447" s="120"/>
      <c r="BW447" s="120"/>
      <c r="BX447" s="120"/>
      <c r="BY447" s="120"/>
      <c r="BZ447" s="120"/>
      <c r="CA447" s="120"/>
      <c r="CB447" s="120"/>
      <c r="CC447" s="120"/>
      <c r="CD447" s="120"/>
      <c r="CE447" s="120"/>
      <c r="CF447" s="120"/>
      <c r="CG447" s="120"/>
      <c r="CH447" s="120"/>
      <c r="CI447" s="120"/>
      <c r="CJ447" s="120"/>
      <c r="CK447" s="120"/>
      <c r="CL447" s="120"/>
      <c r="CM447" s="120"/>
      <c r="CN447" s="120"/>
      <c r="CO447" s="120"/>
      <c r="CP447" s="120"/>
      <c r="CQ447" s="120"/>
      <c r="CR447" s="120"/>
      <c r="CS447" s="120"/>
      <c r="CT447" s="120"/>
      <c r="CU447" s="120"/>
      <c r="CV447" s="120"/>
      <c r="CW447" s="120"/>
      <c r="CX447" s="120"/>
      <c r="CY447" s="120"/>
      <c r="CZ447" s="120"/>
      <c r="DA447" s="120"/>
      <c r="DB447" s="120"/>
      <c r="DC447" s="120"/>
      <c r="DD447" s="120"/>
      <c r="DE447" s="120"/>
      <c r="DF447" s="120"/>
      <c r="DG447" s="120"/>
      <c r="DH447" s="120"/>
      <c r="DI447" s="120"/>
      <c r="DJ447" s="120"/>
      <c r="DK447" s="120"/>
      <c r="DL447" s="120"/>
      <c r="DM447" s="120"/>
      <c r="DN447" s="120"/>
      <c r="DO447" s="120"/>
      <c r="DP447" s="120"/>
      <c r="DQ447" s="120"/>
      <c r="DR447" s="120"/>
      <c r="DS447" s="120"/>
      <c r="DT447" s="120"/>
      <c r="DU447" s="120"/>
      <c r="DV447" s="120"/>
      <c r="DW447" s="120"/>
      <c r="DX447" s="120"/>
      <c r="DY447" s="120"/>
      <c r="DZ447" s="120"/>
      <c r="EA447" s="120"/>
      <c r="EB447" s="120"/>
      <c r="EC447" s="120"/>
      <c r="ED447" s="120"/>
      <c r="EE447" s="120"/>
      <c r="EF447" s="120"/>
      <c r="EG447" s="120"/>
      <c r="EH447" s="120"/>
      <c r="EI447" s="120"/>
      <c r="EJ447" s="120"/>
      <c r="EK447" s="120"/>
      <c r="EL447" s="120"/>
      <c r="EM447" s="120"/>
      <c r="EN447" s="120"/>
      <c r="EO447" s="120"/>
      <c r="EP447" s="120"/>
      <c r="EQ447" s="120"/>
      <c r="ER447" s="120"/>
      <c r="ES447" s="120"/>
      <c r="ET447" s="120"/>
      <c r="EU447" s="120"/>
      <c r="EV447" s="120"/>
      <c r="EW447" s="120"/>
      <c r="EX447" s="120"/>
      <c r="EY447" s="120"/>
      <c r="EZ447" s="120"/>
      <c r="FA447" s="120"/>
      <c r="FB447" s="120"/>
      <c r="FC447" s="120"/>
      <c r="FD447" s="120"/>
      <c r="FE447" s="120"/>
      <c r="FF447" s="120"/>
      <c r="FG447" s="120"/>
      <c r="FH447" s="120"/>
      <c r="FI447" s="120"/>
      <c r="FJ447" s="120"/>
      <c r="FK447" s="120"/>
      <c r="FL447" s="120"/>
      <c r="FM447" s="120"/>
      <c r="FN447" s="120"/>
      <c r="FO447" s="120"/>
      <c r="FP447" s="120"/>
      <c r="FQ447" s="120"/>
      <c r="FR447" s="120"/>
      <c r="FS447" s="120"/>
      <c r="FT447" s="120"/>
      <c r="FU447" s="120"/>
      <c r="FV447" s="120"/>
      <c r="FW447" s="120"/>
      <c r="FX447" s="120"/>
      <c r="FY447" s="120"/>
      <c r="FZ447" s="120"/>
      <c r="GA447" s="120"/>
      <c r="GB447" s="120"/>
      <c r="GC447" s="120"/>
      <c r="GD447" s="120"/>
      <c r="GE447" s="120"/>
      <c r="GF447" s="120"/>
      <c r="GG447" s="120"/>
      <c r="GH447" s="120"/>
      <c r="GI447" s="120"/>
      <c r="GJ447" s="120"/>
      <c r="GK447" s="120"/>
      <c r="GL447" s="120"/>
      <c r="GM447" s="120"/>
      <c r="GN447" s="120"/>
      <c r="GO447" s="120"/>
      <c r="GP447" s="120"/>
      <c r="GQ447" s="120"/>
      <c r="GR447" s="120"/>
      <c r="GS447" s="120"/>
      <c r="GT447" s="120"/>
      <c r="GU447" s="120"/>
      <c r="GV447" s="120"/>
      <c r="GW447" s="120"/>
      <c r="GX447" s="120"/>
      <c r="GY447" s="120"/>
      <c r="GZ447" s="120"/>
      <c r="HA447" s="120"/>
      <c r="HB447" s="120"/>
      <c r="HC447" s="120"/>
      <c r="HD447" s="120"/>
      <c r="HE447" s="120"/>
      <c r="HF447" s="120"/>
      <c r="HG447" s="120"/>
      <c r="HH447" s="120"/>
      <c r="HI447" s="120"/>
      <c r="HJ447" s="120"/>
      <c r="HK447" s="120"/>
      <c r="HL447" s="120"/>
      <c r="HM447" s="120"/>
      <c r="HN447" s="120"/>
      <c r="HO447" s="120"/>
      <c r="HP447" s="120"/>
      <c r="HQ447" s="120"/>
      <c r="HR447" s="120"/>
      <c r="HS447" s="120"/>
      <c r="HT447" s="120"/>
      <c r="HU447" s="120"/>
      <c r="HV447" s="120"/>
      <c r="HW447" s="120"/>
      <c r="HX447" s="120"/>
      <c r="HY447" s="120"/>
      <c r="HZ447" s="120"/>
      <c r="IA447" s="120"/>
      <c r="IB447" s="120"/>
      <c r="IC447" s="120"/>
      <c r="ID447" s="120"/>
      <c r="IE447" s="120"/>
      <c r="IF447" s="120"/>
      <c r="IG447" s="120"/>
      <c r="IH447" s="120"/>
      <c r="II447" s="120"/>
      <c r="IJ447" s="120"/>
      <c r="IK447" s="120"/>
      <c r="IL447" s="120"/>
      <c r="IM447" s="120"/>
    </row>
    <row r="448" spans="1:247" ht="33.75" customHeight="1" x14ac:dyDescent="0.25">
      <c r="A448" s="601"/>
      <c r="B448" s="602" t="s">
        <v>455</v>
      </c>
      <c r="C448" s="50" t="s">
        <v>456</v>
      </c>
      <c r="D448" s="50">
        <v>1.5840000000000001</v>
      </c>
      <c r="E448" s="142">
        <v>0.2</v>
      </c>
      <c r="F448" s="44">
        <f>E448/D448*100</f>
        <v>12.626262626262626</v>
      </c>
      <c r="G448" s="682"/>
      <c r="H448" s="109" t="s">
        <v>1369</v>
      </c>
    </row>
    <row r="449" spans="1:247" ht="47.25" x14ac:dyDescent="0.25">
      <c r="B449" s="94" t="s">
        <v>457</v>
      </c>
      <c r="C449" s="50" t="s">
        <v>456</v>
      </c>
      <c r="D449" s="50">
        <v>0</v>
      </c>
      <c r="E449" s="40">
        <v>0</v>
      </c>
      <c r="F449" s="44"/>
      <c r="G449" s="682"/>
    </row>
    <row r="450" spans="1:247" s="37" customFormat="1" x14ac:dyDescent="0.25">
      <c r="A450" s="137" t="s">
        <v>46</v>
      </c>
      <c r="B450" s="809" t="s">
        <v>458</v>
      </c>
      <c r="C450" s="810"/>
      <c r="D450" s="810"/>
      <c r="E450" s="810"/>
      <c r="F450" s="811"/>
      <c r="G450" s="703"/>
      <c r="H450" s="723"/>
      <c r="I450" s="720"/>
      <c r="J450" s="720"/>
      <c r="K450" s="720"/>
      <c r="L450" s="720"/>
      <c r="M450" s="720"/>
      <c r="N450" s="720"/>
      <c r="O450" s="720"/>
      <c r="P450" s="720"/>
      <c r="Q450" s="720"/>
      <c r="R450" s="720"/>
      <c r="S450" s="720"/>
      <c r="T450" s="720"/>
      <c r="U450" s="720"/>
      <c r="V450" s="720"/>
      <c r="W450" s="720"/>
      <c r="X450" s="720"/>
      <c r="Y450" s="720"/>
      <c r="Z450" s="720"/>
      <c r="AA450" s="720"/>
      <c r="AB450" s="720"/>
      <c r="AC450" s="720"/>
      <c r="AD450" s="720"/>
      <c r="AE450" s="720"/>
      <c r="AF450" s="720"/>
      <c r="AG450" s="138"/>
      <c r="AH450" s="138"/>
      <c r="AI450" s="138"/>
      <c r="AJ450" s="138"/>
      <c r="AK450" s="138"/>
      <c r="AL450" s="138"/>
      <c r="AM450" s="138"/>
      <c r="AN450" s="138"/>
      <c r="AO450" s="138"/>
      <c r="AP450" s="138"/>
      <c r="AQ450" s="138"/>
      <c r="AR450" s="138"/>
      <c r="AS450" s="138"/>
      <c r="AT450" s="138"/>
      <c r="AU450" s="138"/>
      <c r="AV450" s="138"/>
      <c r="AW450" s="138"/>
      <c r="AX450" s="138"/>
      <c r="AY450" s="138"/>
      <c r="AZ450" s="138"/>
      <c r="BA450" s="138"/>
      <c r="BB450" s="138"/>
      <c r="BC450" s="138"/>
      <c r="BD450" s="138"/>
      <c r="BE450" s="138"/>
      <c r="BF450" s="138"/>
      <c r="BG450" s="138"/>
      <c r="BH450" s="138"/>
      <c r="BI450" s="138"/>
      <c r="BJ450" s="138"/>
      <c r="BK450" s="138"/>
      <c r="BL450" s="138"/>
      <c r="BM450" s="138"/>
      <c r="BN450" s="138"/>
      <c r="BO450" s="138"/>
      <c r="BP450" s="138"/>
      <c r="BQ450" s="138"/>
      <c r="BR450" s="138"/>
      <c r="BS450" s="138"/>
      <c r="BT450" s="138"/>
      <c r="BU450" s="138"/>
      <c r="BV450" s="138"/>
      <c r="BW450" s="138"/>
      <c r="BX450" s="138"/>
      <c r="BY450" s="138"/>
      <c r="BZ450" s="138"/>
      <c r="CA450" s="138"/>
      <c r="CB450" s="138"/>
      <c r="CC450" s="138"/>
      <c r="CD450" s="138"/>
      <c r="CE450" s="138"/>
      <c r="CF450" s="138"/>
      <c r="CG450" s="138"/>
      <c r="CH450" s="138"/>
      <c r="CI450" s="138"/>
      <c r="CJ450" s="138"/>
      <c r="CK450" s="138"/>
      <c r="CL450" s="138"/>
      <c r="CM450" s="138"/>
      <c r="CN450" s="138"/>
      <c r="CO450" s="138"/>
      <c r="CP450" s="138"/>
      <c r="CQ450" s="138"/>
      <c r="CR450" s="138"/>
      <c r="CS450" s="138"/>
      <c r="CT450" s="138"/>
      <c r="CU450" s="138"/>
      <c r="CV450" s="138"/>
      <c r="CW450" s="138"/>
      <c r="CX450" s="138"/>
      <c r="CY450" s="138"/>
      <c r="CZ450" s="138"/>
      <c r="DA450" s="138"/>
      <c r="DB450" s="138"/>
      <c r="DC450" s="138"/>
      <c r="DD450" s="138"/>
      <c r="DE450" s="138"/>
      <c r="DF450" s="138"/>
      <c r="DG450" s="138"/>
      <c r="DH450" s="138"/>
      <c r="DI450" s="138"/>
      <c r="DJ450" s="138"/>
      <c r="DK450" s="138"/>
      <c r="DL450" s="138"/>
      <c r="DM450" s="138"/>
      <c r="DN450" s="138"/>
      <c r="DO450" s="138"/>
      <c r="DP450" s="138"/>
      <c r="DQ450" s="138"/>
      <c r="DR450" s="138"/>
      <c r="DS450" s="138"/>
      <c r="DT450" s="138"/>
      <c r="DU450" s="138"/>
      <c r="DV450" s="138"/>
      <c r="DW450" s="138"/>
      <c r="DX450" s="138"/>
      <c r="DY450" s="138"/>
      <c r="DZ450" s="138"/>
      <c r="EA450" s="138"/>
      <c r="EB450" s="138"/>
      <c r="EC450" s="138"/>
      <c r="ED450" s="138"/>
      <c r="EE450" s="138"/>
      <c r="EF450" s="138"/>
      <c r="EG450" s="138"/>
      <c r="EH450" s="138"/>
      <c r="EI450" s="138"/>
      <c r="EJ450" s="138"/>
      <c r="EK450" s="138"/>
      <c r="EL450" s="138"/>
      <c r="EM450" s="138"/>
      <c r="EN450" s="138"/>
      <c r="EO450" s="138"/>
      <c r="EP450" s="138"/>
      <c r="EQ450" s="138"/>
      <c r="ER450" s="138"/>
      <c r="ES450" s="138"/>
      <c r="ET450" s="138"/>
      <c r="EU450" s="138"/>
      <c r="EV450" s="138"/>
      <c r="EW450" s="138"/>
      <c r="EX450" s="138"/>
      <c r="EY450" s="138"/>
      <c r="EZ450" s="138"/>
      <c r="FA450" s="138"/>
      <c r="FB450" s="138"/>
      <c r="FC450" s="138"/>
      <c r="FD450" s="138"/>
      <c r="FE450" s="138"/>
      <c r="FF450" s="138"/>
      <c r="FG450" s="138"/>
      <c r="FH450" s="138"/>
      <c r="FI450" s="138"/>
      <c r="FJ450" s="138"/>
      <c r="FK450" s="138"/>
      <c r="FL450" s="138"/>
      <c r="FM450" s="138"/>
      <c r="FN450" s="138"/>
      <c r="FO450" s="138"/>
      <c r="FP450" s="138"/>
      <c r="FQ450" s="138"/>
      <c r="FR450" s="138"/>
      <c r="FS450" s="138"/>
      <c r="FT450" s="138"/>
      <c r="FU450" s="138"/>
      <c r="FV450" s="138"/>
      <c r="FW450" s="138"/>
      <c r="FX450" s="138"/>
      <c r="FY450" s="138"/>
      <c r="FZ450" s="138"/>
      <c r="GA450" s="138"/>
      <c r="GB450" s="138"/>
      <c r="GC450" s="138"/>
      <c r="GD450" s="138"/>
      <c r="GE450" s="138"/>
      <c r="GF450" s="138"/>
      <c r="GG450" s="138"/>
      <c r="GH450" s="138"/>
      <c r="GI450" s="138"/>
      <c r="GJ450" s="138"/>
      <c r="GK450" s="138"/>
      <c r="GL450" s="138"/>
      <c r="GM450" s="138"/>
      <c r="GN450" s="138"/>
      <c r="GO450" s="138"/>
      <c r="GP450" s="138"/>
      <c r="GQ450" s="138"/>
      <c r="GR450" s="138"/>
      <c r="GS450" s="138"/>
      <c r="GT450" s="138"/>
      <c r="GU450" s="138"/>
      <c r="GV450" s="138"/>
      <c r="GW450" s="138"/>
      <c r="GX450" s="138"/>
      <c r="GY450" s="138"/>
      <c r="GZ450" s="138"/>
      <c r="HA450" s="138"/>
      <c r="HB450" s="138"/>
      <c r="HC450" s="138"/>
      <c r="HD450" s="138"/>
      <c r="HE450" s="138"/>
      <c r="HF450" s="138"/>
      <c r="HG450" s="138"/>
      <c r="HH450" s="138"/>
      <c r="HI450" s="138"/>
      <c r="HJ450" s="138"/>
      <c r="HK450" s="138"/>
      <c r="HL450" s="138"/>
      <c r="HM450" s="138"/>
      <c r="HN450" s="138"/>
      <c r="HO450" s="138"/>
      <c r="HP450" s="138"/>
      <c r="HQ450" s="138"/>
      <c r="HR450" s="138"/>
      <c r="HS450" s="138"/>
      <c r="HT450" s="138"/>
      <c r="HU450" s="138"/>
      <c r="HV450" s="138"/>
      <c r="HW450" s="138"/>
      <c r="HX450" s="138"/>
      <c r="HY450" s="138"/>
      <c r="HZ450" s="138"/>
      <c r="IA450" s="138"/>
      <c r="IB450" s="138"/>
      <c r="IC450" s="138"/>
      <c r="ID450" s="138"/>
      <c r="IE450" s="138"/>
      <c r="IF450" s="138"/>
      <c r="IG450" s="138"/>
      <c r="IH450" s="138"/>
      <c r="II450" s="138"/>
      <c r="IJ450" s="138"/>
      <c r="IK450" s="138"/>
      <c r="IL450" s="138"/>
      <c r="IM450" s="138"/>
    </row>
    <row r="451" spans="1:247" x14ac:dyDescent="0.25">
      <c r="B451" s="806" t="s">
        <v>459</v>
      </c>
      <c r="C451" s="807"/>
      <c r="D451" s="807"/>
      <c r="E451" s="807"/>
      <c r="F451" s="808"/>
      <c r="G451" s="688"/>
      <c r="H451" s="717"/>
      <c r="I451" s="718"/>
      <c r="J451" s="718"/>
      <c r="K451" s="718"/>
      <c r="L451" s="718"/>
      <c r="M451" s="718"/>
      <c r="N451" s="718"/>
      <c r="O451" s="718"/>
      <c r="P451" s="718"/>
      <c r="Q451" s="718"/>
      <c r="R451" s="718"/>
      <c r="S451" s="718"/>
      <c r="T451" s="718"/>
      <c r="U451" s="718"/>
      <c r="V451" s="718"/>
      <c r="W451" s="718"/>
      <c r="X451" s="718"/>
      <c r="Y451" s="718"/>
      <c r="Z451" s="718"/>
      <c r="AA451" s="718"/>
      <c r="AB451" s="718"/>
      <c r="AC451" s="718"/>
      <c r="AD451" s="718"/>
      <c r="AE451" s="718"/>
      <c r="AF451" s="718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20"/>
      <c r="AV451" s="120"/>
      <c r="AW451" s="120"/>
      <c r="AX451" s="120"/>
      <c r="AY451" s="120"/>
      <c r="AZ451" s="120"/>
      <c r="BA451" s="120"/>
      <c r="BB451" s="120"/>
      <c r="BC451" s="120"/>
      <c r="BD451" s="120"/>
      <c r="BE451" s="120"/>
      <c r="BF451" s="120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20"/>
      <c r="BS451" s="120"/>
      <c r="BT451" s="120"/>
      <c r="BU451" s="120"/>
      <c r="BV451" s="120"/>
      <c r="BW451" s="120"/>
      <c r="BX451" s="120"/>
      <c r="BY451" s="120"/>
      <c r="BZ451" s="120"/>
      <c r="CA451" s="120"/>
      <c r="CB451" s="120"/>
      <c r="CC451" s="120"/>
      <c r="CD451" s="120"/>
      <c r="CE451" s="120"/>
      <c r="CF451" s="120"/>
      <c r="CG451" s="120"/>
      <c r="CH451" s="120"/>
      <c r="CI451" s="120"/>
      <c r="CJ451" s="120"/>
      <c r="CK451" s="120"/>
      <c r="CL451" s="120"/>
      <c r="CM451" s="120"/>
      <c r="CN451" s="120"/>
      <c r="CO451" s="120"/>
      <c r="CP451" s="120"/>
      <c r="CQ451" s="120"/>
      <c r="CR451" s="120"/>
      <c r="CS451" s="120"/>
      <c r="CT451" s="120"/>
      <c r="CU451" s="120"/>
      <c r="CV451" s="120"/>
      <c r="CW451" s="120"/>
      <c r="CX451" s="120"/>
      <c r="CY451" s="120"/>
      <c r="CZ451" s="120"/>
      <c r="DA451" s="120"/>
      <c r="DB451" s="120"/>
      <c r="DC451" s="120"/>
      <c r="DD451" s="120"/>
      <c r="DE451" s="120"/>
      <c r="DF451" s="120"/>
      <c r="DG451" s="120"/>
      <c r="DH451" s="120"/>
      <c r="DI451" s="120"/>
      <c r="DJ451" s="120"/>
      <c r="DK451" s="120"/>
      <c r="DL451" s="120"/>
      <c r="DM451" s="120"/>
      <c r="DN451" s="120"/>
      <c r="DO451" s="120"/>
      <c r="DP451" s="120"/>
      <c r="DQ451" s="120"/>
      <c r="DR451" s="120"/>
      <c r="DS451" s="120"/>
      <c r="DT451" s="120"/>
      <c r="DU451" s="120"/>
      <c r="DV451" s="120"/>
      <c r="DW451" s="120"/>
      <c r="DX451" s="120"/>
      <c r="DY451" s="120"/>
      <c r="DZ451" s="120"/>
      <c r="EA451" s="120"/>
      <c r="EB451" s="120"/>
      <c r="EC451" s="120"/>
      <c r="ED451" s="120"/>
      <c r="EE451" s="120"/>
      <c r="EF451" s="120"/>
      <c r="EG451" s="120"/>
      <c r="EH451" s="120"/>
      <c r="EI451" s="120"/>
      <c r="EJ451" s="120"/>
      <c r="EK451" s="120"/>
      <c r="EL451" s="120"/>
      <c r="EM451" s="120"/>
      <c r="EN451" s="120"/>
      <c r="EO451" s="120"/>
      <c r="EP451" s="120"/>
      <c r="EQ451" s="120"/>
      <c r="ER451" s="120"/>
      <c r="ES451" s="120"/>
      <c r="ET451" s="120"/>
      <c r="EU451" s="120"/>
      <c r="EV451" s="120"/>
      <c r="EW451" s="120"/>
      <c r="EX451" s="120"/>
      <c r="EY451" s="120"/>
      <c r="EZ451" s="120"/>
      <c r="FA451" s="120"/>
      <c r="FB451" s="120"/>
      <c r="FC451" s="120"/>
      <c r="FD451" s="120"/>
      <c r="FE451" s="120"/>
      <c r="FF451" s="120"/>
      <c r="FG451" s="120"/>
      <c r="FH451" s="120"/>
      <c r="FI451" s="120"/>
      <c r="FJ451" s="120"/>
      <c r="FK451" s="120"/>
      <c r="FL451" s="120"/>
      <c r="FM451" s="120"/>
      <c r="FN451" s="120"/>
      <c r="FO451" s="120"/>
      <c r="FP451" s="120"/>
      <c r="FQ451" s="120"/>
      <c r="FR451" s="120"/>
      <c r="FS451" s="120"/>
      <c r="FT451" s="120"/>
      <c r="FU451" s="120"/>
      <c r="FV451" s="120"/>
      <c r="FW451" s="120"/>
      <c r="FX451" s="120"/>
      <c r="FY451" s="120"/>
      <c r="FZ451" s="120"/>
      <c r="GA451" s="120"/>
      <c r="GB451" s="120"/>
      <c r="GC451" s="120"/>
      <c r="GD451" s="120"/>
      <c r="GE451" s="120"/>
      <c r="GF451" s="120"/>
      <c r="GG451" s="120"/>
      <c r="GH451" s="120"/>
      <c r="GI451" s="120"/>
      <c r="GJ451" s="120"/>
      <c r="GK451" s="120"/>
      <c r="GL451" s="120"/>
      <c r="GM451" s="120"/>
      <c r="GN451" s="120"/>
      <c r="GO451" s="120"/>
      <c r="GP451" s="120"/>
      <c r="GQ451" s="120"/>
      <c r="GR451" s="120"/>
      <c r="GS451" s="120"/>
      <c r="GT451" s="120"/>
      <c r="GU451" s="120"/>
      <c r="GV451" s="120"/>
      <c r="GW451" s="120"/>
      <c r="GX451" s="120"/>
      <c r="GY451" s="120"/>
      <c r="GZ451" s="120"/>
      <c r="HA451" s="120"/>
      <c r="HB451" s="120"/>
      <c r="HC451" s="120"/>
      <c r="HD451" s="120"/>
      <c r="HE451" s="120"/>
      <c r="HF451" s="120"/>
      <c r="HG451" s="120"/>
      <c r="HH451" s="120"/>
      <c r="HI451" s="120"/>
      <c r="HJ451" s="120"/>
      <c r="HK451" s="120"/>
      <c r="HL451" s="120"/>
      <c r="HM451" s="120"/>
      <c r="HN451" s="120"/>
      <c r="HO451" s="120"/>
      <c r="HP451" s="120"/>
      <c r="HQ451" s="120"/>
      <c r="HR451" s="120"/>
      <c r="HS451" s="120"/>
      <c r="HT451" s="120"/>
      <c r="HU451" s="120"/>
      <c r="HV451" s="120"/>
      <c r="HW451" s="120"/>
      <c r="HX451" s="120"/>
      <c r="HY451" s="120"/>
      <c r="HZ451" s="120"/>
      <c r="IA451" s="120"/>
      <c r="IB451" s="120"/>
      <c r="IC451" s="120"/>
      <c r="ID451" s="120"/>
      <c r="IE451" s="120"/>
      <c r="IF451" s="120"/>
      <c r="IG451" s="120"/>
      <c r="IH451" s="120"/>
      <c r="II451" s="120"/>
      <c r="IJ451" s="120"/>
      <c r="IK451" s="120"/>
      <c r="IL451" s="120"/>
      <c r="IM451" s="120"/>
    </row>
    <row r="452" spans="1:247" ht="47.25" x14ac:dyDescent="0.25">
      <c r="B452" s="94" t="s">
        <v>460</v>
      </c>
      <c r="C452" s="50" t="s">
        <v>85</v>
      </c>
      <c r="D452" s="50">
        <v>0</v>
      </c>
      <c r="E452" s="40">
        <v>0</v>
      </c>
      <c r="F452" s="44"/>
      <c r="G452" s="682"/>
    </row>
    <row r="453" spans="1:247" ht="47.25" x14ac:dyDescent="0.25">
      <c r="A453" s="106"/>
      <c r="B453" s="735" t="s">
        <v>461</v>
      </c>
      <c r="C453" s="736" t="s">
        <v>85</v>
      </c>
      <c r="D453" s="736">
        <v>0</v>
      </c>
      <c r="E453" s="737">
        <v>0</v>
      </c>
      <c r="F453" s="738"/>
      <c r="G453" s="699"/>
      <c r="H453" s="739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</row>
    <row r="454" spans="1:247" s="34" customFormat="1" ht="47.25" x14ac:dyDescent="0.25">
      <c r="B454" s="741" t="s">
        <v>462</v>
      </c>
      <c r="C454" s="50" t="s">
        <v>85</v>
      </c>
      <c r="D454" s="50">
        <v>0</v>
      </c>
      <c r="E454" s="40">
        <v>0</v>
      </c>
      <c r="F454" s="44"/>
      <c r="G454" s="41"/>
      <c r="H454" s="109"/>
    </row>
    <row r="455" spans="1:247" s="734" customFormat="1" x14ac:dyDescent="0.25">
      <c r="H455" s="740"/>
    </row>
    <row r="456" spans="1:247" s="734" customFormat="1" x14ac:dyDescent="0.25">
      <c r="H456" s="740"/>
    </row>
    <row r="457" spans="1:247" s="734" customFormat="1" ht="18.75" x14ac:dyDescent="0.3">
      <c r="B457" s="733" t="s">
        <v>1416</v>
      </c>
      <c r="C457" s="733"/>
      <c r="D457" s="733" t="s">
        <v>1414</v>
      </c>
      <c r="H457" s="740"/>
    </row>
    <row r="458" spans="1:247" s="734" customFormat="1" ht="18.75" x14ac:dyDescent="0.3">
      <c r="B458" s="733"/>
      <c r="C458" s="733"/>
      <c r="D458" s="733"/>
      <c r="H458" s="740"/>
    </row>
    <row r="459" spans="1:247" s="734" customFormat="1" ht="18.75" x14ac:dyDescent="0.3">
      <c r="B459" s="733" t="s">
        <v>1417</v>
      </c>
      <c r="C459" s="733"/>
      <c r="D459" s="733"/>
      <c r="H459" s="740"/>
    </row>
    <row r="460" spans="1:247" s="734" customFormat="1" x14ac:dyDescent="0.25">
      <c r="H460" s="740"/>
    </row>
    <row r="461" spans="1:247" s="734" customFormat="1" x14ac:dyDescent="0.25">
      <c r="H461" s="740"/>
    </row>
    <row r="462" spans="1:247" s="734" customFormat="1" x14ac:dyDescent="0.25">
      <c r="H462" s="740"/>
    </row>
    <row r="463" spans="1:247" s="734" customFormat="1" x14ac:dyDescent="0.25">
      <c r="H463" s="740"/>
    </row>
    <row r="464" spans="1:247" s="734" customFormat="1" x14ac:dyDescent="0.25">
      <c r="H464" s="740"/>
    </row>
    <row r="465" spans="8:8" s="734" customFormat="1" x14ac:dyDescent="0.25">
      <c r="H465" s="740"/>
    </row>
    <row r="466" spans="8:8" s="734" customFormat="1" x14ac:dyDescent="0.25">
      <c r="H466" s="740"/>
    </row>
    <row r="467" spans="8:8" s="734" customFormat="1" x14ac:dyDescent="0.25">
      <c r="H467" s="740"/>
    </row>
    <row r="468" spans="8:8" s="734" customFormat="1" x14ac:dyDescent="0.25">
      <c r="H468" s="740"/>
    </row>
    <row r="469" spans="8:8" s="734" customFormat="1" x14ac:dyDescent="0.25">
      <c r="H469" s="740"/>
    </row>
    <row r="470" spans="8:8" s="734" customFormat="1" x14ac:dyDescent="0.25">
      <c r="H470" s="740"/>
    </row>
    <row r="471" spans="8:8" s="734" customFormat="1" x14ac:dyDescent="0.25">
      <c r="H471" s="740"/>
    </row>
    <row r="472" spans="8:8" s="734" customFormat="1" x14ac:dyDescent="0.25">
      <c r="H472" s="740"/>
    </row>
    <row r="473" spans="8:8" s="734" customFormat="1" x14ac:dyDescent="0.25">
      <c r="H473" s="740"/>
    </row>
  </sheetData>
  <mergeCells count="162">
    <mergeCell ref="B87:F87"/>
    <mergeCell ref="B36:F36"/>
    <mergeCell ref="B37:F37"/>
    <mergeCell ref="B42:F42"/>
    <mergeCell ref="B49:F49"/>
    <mergeCell ref="H95:H96"/>
    <mergeCell ref="H180:H181"/>
    <mergeCell ref="H168:H169"/>
    <mergeCell ref="B25:F25"/>
    <mergeCell ref="B26:F26"/>
    <mergeCell ref="B29:F29"/>
    <mergeCell ref="B31:F31"/>
    <mergeCell ref="B108:F108"/>
    <mergeCell ref="B109:F109"/>
    <mergeCell ref="B113:F113"/>
    <mergeCell ref="B117:F117"/>
    <mergeCell ref="B121:F121"/>
    <mergeCell ref="B124:G124"/>
    <mergeCell ref="B89:F89"/>
    <mergeCell ref="B90:F90"/>
    <mergeCell ref="B100:F100"/>
    <mergeCell ref="B107:F107"/>
    <mergeCell ref="B140:G140"/>
    <mergeCell ref="B3:B5"/>
    <mergeCell ref="C3:C5"/>
    <mergeCell ref="D3:D4"/>
    <mergeCell ref="E3:E4"/>
    <mergeCell ref="F3:F5"/>
    <mergeCell ref="G3:G5"/>
    <mergeCell ref="D5:E5"/>
    <mergeCell ref="B21:F21"/>
    <mergeCell ref="B23:F23"/>
    <mergeCell ref="B7:F7"/>
    <mergeCell ref="B12:F12"/>
    <mergeCell ref="B13:F13"/>
    <mergeCell ref="B18:F18"/>
    <mergeCell ref="B20:F20"/>
    <mergeCell ref="B142:G142"/>
    <mergeCell ref="B144:G144"/>
    <mergeCell ref="B145:G145"/>
    <mergeCell ref="B147:F147"/>
    <mergeCell ref="B128:G128"/>
    <mergeCell ref="B133:G133"/>
    <mergeCell ref="B135:G135"/>
    <mergeCell ref="B136:G136"/>
    <mergeCell ref="B137:G137"/>
    <mergeCell ref="B139:G139"/>
    <mergeCell ref="B186:F186"/>
    <mergeCell ref="B188:G188"/>
    <mergeCell ref="B162:F162"/>
    <mergeCell ref="B164:F164"/>
    <mergeCell ref="B166:G166"/>
    <mergeCell ref="B175:G175"/>
    <mergeCell ref="B178:F178"/>
    <mergeCell ref="B149:F149"/>
    <mergeCell ref="B150:F150"/>
    <mergeCell ref="B152:G152"/>
    <mergeCell ref="B155:F155"/>
    <mergeCell ref="B156:F156"/>
    <mergeCell ref="B158:F158"/>
    <mergeCell ref="B213:H213"/>
    <mergeCell ref="B223:H223"/>
    <mergeCell ref="B227:H227"/>
    <mergeCell ref="B205:G205"/>
    <mergeCell ref="B208:F208"/>
    <mergeCell ref="B212:F212"/>
    <mergeCell ref="B190:G190"/>
    <mergeCell ref="B195:F195"/>
    <mergeCell ref="B197:G197"/>
    <mergeCell ref="B199:G199"/>
    <mergeCell ref="B202:G202"/>
    <mergeCell ref="B226:F226"/>
    <mergeCell ref="B228:F228"/>
    <mergeCell ref="B234:G234"/>
    <mergeCell ref="B236:G236"/>
    <mergeCell ref="B214:G214"/>
    <mergeCell ref="B215:G215"/>
    <mergeCell ref="B218:G218"/>
    <mergeCell ref="B219:G219"/>
    <mergeCell ref="B222:F222"/>
    <mergeCell ref="B254:G254"/>
    <mergeCell ref="B256:G256"/>
    <mergeCell ref="B258:G258"/>
    <mergeCell ref="B260:G260"/>
    <mergeCell ref="B262:G262"/>
    <mergeCell ref="B240:G240"/>
    <mergeCell ref="B243:F243"/>
    <mergeCell ref="B245:G245"/>
    <mergeCell ref="B249:G249"/>
    <mergeCell ref="B252:F252"/>
    <mergeCell ref="B244:H244"/>
    <mergeCell ref="B253:H253"/>
    <mergeCell ref="B286:F286"/>
    <mergeCell ref="B296:F296"/>
    <mergeCell ref="B306:F306"/>
    <mergeCell ref="B308:F308"/>
    <mergeCell ref="B310:F310"/>
    <mergeCell ref="B264:F264"/>
    <mergeCell ref="B271:F271"/>
    <mergeCell ref="B273:F273"/>
    <mergeCell ref="B278:F278"/>
    <mergeCell ref="B265:H265"/>
    <mergeCell ref="B272:H272"/>
    <mergeCell ref="B307:H307"/>
    <mergeCell ref="B355:F355"/>
    <mergeCell ref="B358:F358"/>
    <mergeCell ref="B369:F369"/>
    <mergeCell ref="B370:F370"/>
    <mergeCell ref="B311:F311"/>
    <mergeCell ref="B314:F314"/>
    <mergeCell ref="B332:F332"/>
    <mergeCell ref="B337:F337"/>
    <mergeCell ref="B341:F341"/>
    <mergeCell ref="B347:F347"/>
    <mergeCell ref="B446:G446"/>
    <mergeCell ref="B447:G447"/>
    <mergeCell ref="B450:F450"/>
    <mergeCell ref="B451:F451"/>
    <mergeCell ref="B51:F51"/>
    <mergeCell ref="B58:F58"/>
    <mergeCell ref="B65:F65"/>
    <mergeCell ref="B73:F73"/>
    <mergeCell ref="B81:F81"/>
    <mergeCell ref="B83:F83"/>
    <mergeCell ref="B431:F431"/>
    <mergeCell ref="B434:F434"/>
    <mergeCell ref="B441:F441"/>
    <mergeCell ref="B412:F412"/>
    <mergeCell ref="B416:F416"/>
    <mergeCell ref="B419:F419"/>
    <mergeCell ref="B422:F422"/>
    <mergeCell ref="B426:F426"/>
    <mergeCell ref="B428:F428"/>
    <mergeCell ref="B391:F391"/>
    <mergeCell ref="B395:F395"/>
    <mergeCell ref="B408:F408"/>
    <mergeCell ref="B410:F410"/>
    <mergeCell ref="B374:F374"/>
    <mergeCell ref="B435:H435"/>
    <mergeCell ref="B442:H442"/>
    <mergeCell ref="H3:H5"/>
    <mergeCell ref="A1:H2"/>
    <mergeCell ref="A3:A5"/>
    <mergeCell ref="B8:H8"/>
    <mergeCell ref="B43:H43"/>
    <mergeCell ref="B50:H50"/>
    <mergeCell ref="B88:H88"/>
    <mergeCell ref="B148:H148"/>
    <mergeCell ref="B165:H165"/>
    <mergeCell ref="B179:H179"/>
    <mergeCell ref="B187:H187"/>
    <mergeCell ref="B196:H196"/>
    <mergeCell ref="B209:H209"/>
    <mergeCell ref="B380:F380"/>
    <mergeCell ref="B384:F384"/>
    <mergeCell ref="B385:F385"/>
    <mergeCell ref="B388:F388"/>
    <mergeCell ref="B390:F390"/>
    <mergeCell ref="B396:H396"/>
    <mergeCell ref="B409:H409"/>
    <mergeCell ref="B350:F350"/>
    <mergeCell ref="B354:F354"/>
  </mergeCells>
  <pageMargins left="0.23622047244094491" right="0.23622047244094491" top="0.39370078740157483" bottom="0.35433070866141736" header="0.31496062992125984" footer="0.31496062992125984"/>
  <pageSetup paperSize="9" scale="10" fitToHeight="0" orientation="landscape" r:id="rId1"/>
  <colBreaks count="1" manualBreakCount="1">
    <brk id="7" max="45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zoomScale="85" zoomScaleNormal="85" workbookViewId="0">
      <selection activeCell="E30" sqref="E30"/>
    </sheetView>
  </sheetViews>
  <sheetFormatPr defaultRowHeight="12.75" x14ac:dyDescent="0.2"/>
  <cols>
    <col min="1" max="1" width="20.5703125" style="1" customWidth="1"/>
    <col min="2" max="2" width="12.140625" style="582" customWidth="1"/>
    <col min="3" max="3" width="8.140625" style="582" customWidth="1"/>
    <col min="4" max="4" width="9.7109375" style="582" customWidth="1"/>
    <col min="5" max="5" width="9.85546875" style="582" customWidth="1"/>
    <col min="6" max="6" width="10" style="582" customWidth="1"/>
    <col min="7" max="7" width="10.7109375" style="582" customWidth="1"/>
    <col min="8" max="9" width="13.7109375" style="582" customWidth="1"/>
    <col min="10" max="10" width="8.42578125" style="582" customWidth="1"/>
    <col min="11" max="11" width="9.5703125" style="582" customWidth="1"/>
    <col min="12" max="12" width="13.7109375" style="582" customWidth="1"/>
    <col min="13" max="13" width="11.42578125" style="582" customWidth="1"/>
    <col min="14" max="14" width="9.140625" style="582" customWidth="1"/>
    <col min="15" max="15" width="8.85546875" style="582" customWidth="1"/>
    <col min="16" max="16" width="8.5703125" style="582" customWidth="1"/>
    <col min="17" max="17" width="9.85546875" style="582" customWidth="1"/>
    <col min="18" max="19" width="11" style="582" customWidth="1"/>
    <col min="20" max="20" width="8.7109375" style="582" customWidth="1"/>
    <col min="21" max="21" width="12.42578125" style="582" customWidth="1"/>
    <col min="22" max="22" width="9.140625" style="582"/>
    <col min="23" max="23" width="11.42578125" style="582" customWidth="1"/>
    <col min="24" max="16384" width="9.140625" style="1"/>
  </cols>
  <sheetData>
    <row r="1" spans="1:23" x14ac:dyDescent="0.2">
      <c r="A1" s="867" t="s">
        <v>1402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67"/>
      <c r="S1" s="867"/>
      <c r="T1" s="867"/>
      <c r="U1" s="867"/>
      <c r="V1" s="867"/>
    </row>
    <row r="3" spans="1:23" x14ac:dyDescent="0.2">
      <c r="V3" s="583"/>
      <c r="W3" s="583" t="s">
        <v>41</v>
      </c>
    </row>
    <row r="4" spans="1:23" s="14" customFormat="1" ht="159" customHeight="1" x14ac:dyDescent="0.2">
      <c r="A4" s="13"/>
      <c r="B4" s="584" t="s">
        <v>1282</v>
      </c>
      <c r="C4" s="584" t="s">
        <v>187</v>
      </c>
      <c r="D4" s="584" t="s">
        <v>464</v>
      </c>
      <c r="E4" s="576" t="s">
        <v>1366</v>
      </c>
      <c r="F4" s="576" t="s">
        <v>1331</v>
      </c>
      <c r="G4" s="585" t="s">
        <v>47</v>
      </c>
      <c r="H4" s="586" t="s">
        <v>1302</v>
      </c>
      <c r="I4" s="587" t="s">
        <v>1288</v>
      </c>
      <c r="J4" s="586" t="s">
        <v>1378</v>
      </c>
      <c r="K4" s="584" t="s">
        <v>49</v>
      </c>
      <c r="L4" s="576" t="s">
        <v>1293</v>
      </c>
      <c r="M4" s="586" t="s">
        <v>1296</v>
      </c>
      <c r="N4" s="586" t="s">
        <v>463</v>
      </c>
      <c r="O4" s="576" t="s">
        <v>1298</v>
      </c>
      <c r="P4" s="576" t="s">
        <v>1326</v>
      </c>
      <c r="Q4" s="586" t="s">
        <v>1321</v>
      </c>
      <c r="R4" s="584" t="s">
        <v>1386</v>
      </c>
      <c r="S4" s="576" t="s">
        <v>1393</v>
      </c>
      <c r="T4" s="584" t="s">
        <v>1382</v>
      </c>
      <c r="U4" s="588" t="s">
        <v>48</v>
      </c>
      <c r="V4" s="584" t="s">
        <v>1389</v>
      </c>
      <c r="W4" s="584" t="s">
        <v>1397</v>
      </c>
    </row>
    <row r="5" spans="1:23" ht="26.25" customHeight="1" x14ac:dyDescent="0.25">
      <c r="A5" s="15" t="s">
        <v>42</v>
      </c>
      <c r="B5" s="589">
        <v>85.5</v>
      </c>
      <c r="C5" s="589">
        <v>100</v>
      </c>
      <c r="D5" s="589"/>
      <c r="E5" s="589">
        <v>88.2</v>
      </c>
      <c r="F5" s="589">
        <v>88</v>
      </c>
      <c r="G5" s="589">
        <v>88</v>
      </c>
      <c r="H5" s="589">
        <v>81</v>
      </c>
      <c r="I5" s="589"/>
      <c r="J5" s="589">
        <v>89</v>
      </c>
      <c r="K5" s="589">
        <v>81</v>
      </c>
      <c r="L5" s="589">
        <v>85.5</v>
      </c>
      <c r="M5" s="589">
        <v>93</v>
      </c>
      <c r="N5" s="589">
        <v>81</v>
      </c>
      <c r="O5" s="589">
        <v>85.5</v>
      </c>
      <c r="P5" s="589"/>
      <c r="Q5" s="589">
        <v>81</v>
      </c>
      <c r="R5" s="589">
        <v>88</v>
      </c>
      <c r="S5" s="589">
        <v>82</v>
      </c>
      <c r="T5" s="589">
        <v>88</v>
      </c>
      <c r="U5" s="589"/>
      <c r="V5" s="589">
        <v>89</v>
      </c>
      <c r="W5" s="589">
        <v>82</v>
      </c>
    </row>
    <row r="6" spans="1:23" ht="39.75" customHeight="1" x14ac:dyDescent="0.25">
      <c r="A6" s="15" t="s">
        <v>43</v>
      </c>
      <c r="B6" s="589"/>
      <c r="C6" s="589"/>
      <c r="D6" s="589"/>
      <c r="E6" s="589"/>
      <c r="F6" s="589"/>
      <c r="G6" s="589"/>
      <c r="H6" s="589"/>
      <c r="I6" s="589">
        <v>77</v>
      </c>
      <c r="J6" s="589"/>
      <c r="K6" s="589"/>
      <c r="L6" s="589"/>
      <c r="M6" s="589"/>
      <c r="N6" s="589"/>
      <c r="O6" s="589"/>
      <c r="P6" s="589">
        <v>70</v>
      </c>
      <c r="Q6" s="589"/>
      <c r="R6" s="589"/>
      <c r="S6" s="589"/>
      <c r="T6" s="589"/>
      <c r="U6" s="589">
        <v>77</v>
      </c>
      <c r="V6" s="589"/>
      <c r="W6" s="589"/>
    </row>
    <row r="7" spans="1:23" ht="39.75" x14ac:dyDescent="0.25">
      <c r="A7" s="15" t="s">
        <v>44</v>
      </c>
      <c r="B7" s="589"/>
      <c r="C7" s="589"/>
      <c r="D7" s="589">
        <v>57.2</v>
      </c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</row>
    <row r="8" spans="1:23" ht="34.5" customHeight="1" x14ac:dyDescent="0.25">
      <c r="A8" s="15" t="s">
        <v>45</v>
      </c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589"/>
      <c r="S8" s="589"/>
      <c r="T8" s="589"/>
      <c r="U8" s="589"/>
      <c r="V8" s="589"/>
      <c r="W8" s="589"/>
    </row>
    <row r="10" spans="1:23" ht="18.75" x14ac:dyDescent="0.3">
      <c r="C10" s="728" t="s">
        <v>1413</v>
      </c>
      <c r="D10" s="733"/>
      <c r="I10" s="728" t="s">
        <v>1414</v>
      </c>
    </row>
    <row r="11" spans="1:23" ht="18.75" x14ac:dyDescent="0.3">
      <c r="C11" s="728"/>
      <c r="D11" s="733"/>
      <c r="E11" s="733"/>
    </row>
    <row r="12" spans="1:23" ht="18.75" x14ac:dyDescent="0.3">
      <c r="C12" s="728" t="s">
        <v>1415</v>
      </c>
      <c r="D12" s="733"/>
      <c r="E12" s="733"/>
    </row>
  </sheetData>
  <mergeCells count="1">
    <mergeCell ref="A1:V1"/>
  </mergeCells>
  <pageMargins left="0.25" right="0.25" top="0.75" bottom="0.75" header="0.3" footer="0.3"/>
  <pageSetup paperSize="9" scale="6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5"/>
  <sheetViews>
    <sheetView topLeftCell="A7" zoomScale="70" zoomScaleNormal="70"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38.25" customHeight="1" x14ac:dyDescent="0.25">
      <c r="A4" s="870" t="s">
        <v>1282</v>
      </c>
      <c r="B4" s="870"/>
      <c r="C4" s="870"/>
      <c r="D4" s="870"/>
      <c r="E4" s="870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63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63.75" x14ac:dyDescent="0.25">
      <c r="A9" s="319" t="s">
        <v>9</v>
      </c>
      <c r="B9" s="319" t="s">
        <v>10</v>
      </c>
      <c r="C9" s="148">
        <v>0.55000000000000004</v>
      </c>
      <c r="D9" s="374">
        <v>100</v>
      </c>
      <c r="E9" s="10">
        <f>D9*C9</f>
        <v>55.000000000000007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100</v>
      </c>
      <c r="E10" s="10">
        <f>D10*C10</f>
        <v>1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428">
        <v>100</v>
      </c>
      <c r="E11" s="10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428">
        <v>50</v>
      </c>
      <c r="E12" s="10">
        <f>D12*C12</f>
        <v>7.5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428">
        <v>50</v>
      </c>
      <c r="E13" s="10">
        <f>D13*C13</f>
        <v>7.0000000000000009</v>
      </c>
    </row>
    <row r="14" spans="1:5" ht="15.75" x14ac:dyDescent="0.25">
      <c r="A14" s="324"/>
      <c r="B14" s="868" t="s">
        <v>36</v>
      </c>
      <c r="C14" s="868"/>
      <c r="D14" s="868"/>
      <c r="E14" s="377">
        <f>SUM(E9:E13)</f>
        <v>85.5</v>
      </c>
    </row>
    <row r="15" spans="1:5" ht="15.75" x14ac:dyDescent="0.25">
      <c r="A15" s="30"/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7"/>
  <sheetViews>
    <sheetView workbookViewId="0">
      <selection sqref="A1:W12"/>
    </sheetView>
  </sheetViews>
  <sheetFormatPr defaultColWidth="26.85546875" defaultRowHeight="15" x14ac:dyDescent="0.25"/>
  <cols>
    <col min="1" max="1" width="6.42578125" customWidth="1"/>
    <col min="2" max="2" width="40" customWidth="1"/>
  </cols>
  <sheetData>
    <row r="1" spans="1:5" ht="15.75" x14ac:dyDescent="0.25">
      <c r="A1" s="869" t="s">
        <v>31</v>
      </c>
      <c r="B1" s="869"/>
      <c r="C1" s="869"/>
      <c r="D1" s="869"/>
      <c r="E1" s="869"/>
    </row>
    <row r="2" spans="1:5" ht="15.75" x14ac:dyDescent="0.25">
      <c r="A2" s="869" t="s">
        <v>32</v>
      </c>
      <c r="B2" s="869"/>
      <c r="C2" s="869"/>
      <c r="D2" s="869"/>
      <c r="E2" s="869"/>
    </row>
    <row r="3" spans="1:5" ht="15.75" x14ac:dyDescent="0.25">
      <c r="A3" s="869" t="s">
        <v>33</v>
      </c>
      <c r="B3" s="869"/>
      <c r="C3" s="869"/>
      <c r="D3" s="869"/>
      <c r="E3" s="869"/>
    </row>
    <row r="4" spans="1:5" ht="15.75" x14ac:dyDescent="0.25">
      <c r="A4" s="871" t="s">
        <v>187</v>
      </c>
      <c r="B4" s="871"/>
      <c r="C4" s="871"/>
      <c r="D4" s="871"/>
      <c r="E4" s="871"/>
    </row>
    <row r="5" spans="1:5" ht="15.75" customHeight="1" x14ac:dyDescent="0.25">
      <c r="A5" s="870" t="s">
        <v>1170</v>
      </c>
      <c r="B5" s="870"/>
      <c r="C5" s="870"/>
      <c r="D5" s="870"/>
      <c r="E5" s="870"/>
    </row>
    <row r="6" spans="1:5" ht="15.75" x14ac:dyDescent="0.25">
      <c r="A6" s="8"/>
    </row>
    <row r="7" spans="1:5" ht="92.25" customHeight="1" x14ac:dyDescent="0.25">
      <c r="A7" s="435" t="s">
        <v>1</v>
      </c>
      <c r="B7" s="435" t="s">
        <v>34</v>
      </c>
      <c r="C7" s="436" t="s">
        <v>37</v>
      </c>
      <c r="D7" s="435" t="s">
        <v>35</v>
      </c>
      <c r="E7" s="436" t="s">
        <v>1171</v>
      </c>
    </row>
    <row r="8" spans="1:5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63.75" x14ac:dyDescent="0.25">
      <c r="A9" s="319" t="s">
        <v>9</v>
      </c>
      <c r="B9" s="319" t="s">
        <v>10</v>
      </c>
      <c r="C9" s="148">
        <v>0.55000000000000004</v>
      </c>
      <c r="D9" s="374">
        <v>100</v>
      </c>
      <c r="E9" s="10">
        <f>D9*C9</f>
        <v>55.000000000000007</v>
      </c>
    </row>
    <row r="10" spans="1:5" ht="38.25" x14ac:dyDescent="0.25">
      <c r="A10" s="320" t="s">
        <v>15</v>
      </c>
      <c r="B10" s="320" t="s">
        <v>26</v>
      </c>
      <c r="C10" s="375">
        <v>0.01</v>
      </c>
      <c r="D10" s="374">
        <v>100</v>
      </c>
      <c r="E10" s="10">
        <f>D10*C10</f>
        <v>1</v>
      </c>
    </row>
    <row r="11" spans="1:5" ht="25.5" x14ac:dyDescent="0.25">
      <c r="A11" s="319" t="s">
        <v>19</v>
      </c>
      <c r="B11" s="319" t="s">
        <v>27</v>
      </c>
      <c r="C11" s="148">
        <v>0.15</v>
      </c>
      <c r="D11" s="428">
        <v>100</v>
      </c>
      <c r="E11" s="10">
        <f>D11*C11</f>
        <v>15</v>
      </c>
    </row>
    <row r="12" spans="1:5" ht="38.25" x14ac:dyDescent="0.25">
      <c r="A12" s="320" t="s">
        <v>20</v>
      </c>
      <c r="B12" s="320" t="s">
        <v>21</v>
      </c>
      <c r="C12" s="375">
        <v>0.15</v>
      </c>
      <c r="D12" s="428">
        <v>100</v>
      </c>
      <c r="E12" s="10">
        <f>D12*C12</f>
        <v>15</v>
      </c>
    </row>
    <row r="13" spans="1:5" ht="25.5" x14ac:dyDescent="0.25">
      <c r="A13" s="319" t="s">
        <v>25</v>
      </c>
      <c r="B13" s="319" t="s">
        <v>28</v>
      </c>
      <c r="C13" s="148">
        <v>0.14000000000000001</v>
      </c>
      <c r="D13" s="428">
        <v>100</v>
      </c>
      <c r="E13" s="10">
        <f>D13*C13</f>
        <v>14.000000000000002</v>
      </c>
    </row>
    <row r="14" spans="1:5" ht="15.75" x14ac:dyDescent="0.25">
      <c r="A14" s="324"/>
      <c r="B14" s="868" t="s">
        <v>36</v>
      </c>
      <c r="C14" s="868"/>
      <c r="D14" s="868"/>
      <c r="E14" s="377">
        <f>SUM(E9:E13)</f>
        <v>100</v>
      </c>
    </row>
    <row r="15" spans="1:5" ht="15.75" x14ac:dyDescent="0.25">
      <c r="A15" s="11"/>
    </row>
    <row r="16" spans="1:5" ht="15.75" x14ac:dyDescent="0.25">
      <c r="A16" s="29"/>
    </row>
    <row r="17" spans="1:1" ht="15.75" x14ac:dyDescent="0.25">
      <c r="A17" s="29"/>
    </row>
  </sheetData>
  <mergeCells count="6">
    <mergeCell ref="B14:D14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</vt:i4>
      </vt:variant>
    </vt:vector>
  </HeadingPairs>
  <TitlesOfParts>
    <vt:vector size="34" baseType="lpstr">
      <vt:lpstr>Расчет годовой</vt:lpstr>
      <vt:lpstr>расчет</vt:lpstr>
      <vt:lpstr>свод</vt:lpstr>
      <vt:lpstr>мб</vt:lpstr>
      <vt:lpstr>инд</vt:lpstr>
      <vt:lpstr>оценка</vt:lpstr>
      <vt:lpstr>Лист4</vt:lpstr>
      <vt:lpstr>ОКЖ</vt:lpstr>
      <vt:lpstr>дорож</vt:lpstr>
      <vt:lpstr>энергосбер</vt:lpstr>
      <vt:lpstr>сх</vt:lpstr>
      <vt:lpstr>уизо</vt:lpstr>
      <vt:lpstr>предпр</vt:lpstr>
      <vt:lpstr>инф</vt:lpstr>
      <vt:lpstr>кадр</vt:lpstr>
      <vt:lpstr>охр тр</vt:lpstr>
      <vt:lpstr>старшее</vt:lpstr>
      <vt:lpstr>нко</vt:lpstr>
      <vt:lpstr>безбарь</vt:lpstr>
      <vt:lpstr>семейн</vt:lpstr>
      <vt:lpstr>правонаруш</vt:lpstr>
      <vt:lpstr>молодежь</vt:lpstr>
      <vt:lpstr>спорт</vt:lpstr>
      <vt:lpstr>УК</vt:lpstr>
      <vt:lpstr>образ</vt:lpstr>
      <vt:lpstr>окр ср</vt:lpstr>
      <vt:lpstr>финансы</vt:lpstr>
      <vt:lpstr>крст</vt:lpstr>
      <vt:lpstr>газ</vt:lpstr>
      <vt:lpstr>Лист2</vt:lpstr>
      <vt:lpstr>Лист3</vt:lpstr>
      <vt:lpstr>Лист1</vt:lpstr>
      <vt:lpstr>мб!Область_печати</vt:lpstr>
      <vt:lpstr>оценка!Область_печати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УЭР</cp:lastModifiedBy>
  <cp:lastPrinted>2021-03-24T09:05:10Z</cp:lastPrinted>
  <dcterms:created xsi:type="dcterms:W3CDTF">2020-10-13T01:23:06Z</dcterms:created>
  <dcterms:modified xsi:type="dcterms:W3CDTF">2022-02-24T00:42:05Z</dcterms:modified>
</cp:coreProperties>
</file>